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192.168.110.2\Dispozitive\+LP ADM 2026\+PROCEDURI CENTRALIZATE\Instrumentar Repetat T\PARTEA 1  demarare\initiere\"/>
    </mc:Choice>
  </mc:AlternateContent>
  <xr:revisionPtr revIDLastSave="0" documentId="13_ncr:1_{5D162D7D-8BCF-49CA-82D2-3394F2B8BA2A}" xr6:coauthVersionLast="47" xr6:coauthVersionMax="47" xr10:uidLastSave="{00000000-0000-0000-0000-000000000000}"/>
  <bookViews>
    <workbookView xWindow="-120" yWindow="-120" windowWidth="29040" windowHeight="15720" xr2:uid="{BBA38C45-B537-40E9-93E4-1667F34D222A}"/>
  </bookViews>
  <sheets>
    <sheet name="Sheet1" sheetId="1" r:id="rId1"/>
  </sheets>
  <definedNames>
    <definedName name="_xlnm._FilterDatabase" localSheetId="0" hidden="1">Sheet1!$A$4:$BE$144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D142" i="1" l="1"/>
  <c r="BD143" i="1"/>
  <c r="BD141" i="1"/>
  <c r="BD140" i="1"/>
  <c r="BD139" i="1"/>
  <c r="BD138" i="1"/>
  <c r="BD137" i="1"/>
  <c r="BD136" i="1"/>
  <c r="BD135" i="1"/>
  <c r="BD134" i="1"/>
  <c r="BD133" i="1"/>
  <c r="BD132" i="1"/>
  <c r="BD131" i="1"/>
  <c r="BD130" i="1"/>
  <c r="BD129" i="1"/>
  <c r="BD128" i="1"/>
  <c r="BD127" i="1"/>
  <c r="BD126" i="1"/>
  <c r="BD125" i="1"/>
  <c r="BD124" i="1"/>
  <c r="BD123" i="1"/>
  <c r="BD122" i="1"/>
  <c r="BD121" i="1"/>
  <c r="BD120" i="1"/>
  <c r="BD119" i="1"/>
  <c r="BD118" i="1"/>
  <c r="BD117" i="1"/>
  <c r="BD116" i="1"/>
  <c r="BD115" i="1"/>
  <c r="BD114" i="1"/>
  <c r="BD113" i="1"/>
  <c r="BD112" i="1"/>
  <c r="BD111" i="1"/>
  <c r="BD110" i="1"/>
  <c r="BD109" i="1"/>
  <c r="BD108" i="1"/>
  <c r="BD107" i="1"/>
  <c r="BD106" i="1"/>
  <c r="BD105" i="1"/>
  <c r="BD104" i="1"/>
  <c r="BD103" i="1"/>
  <c r="BD102" i="1"/>
  <c r="BD101" i="1"/>
  <c r="BD100" i="1"/>
  <c r="BD99" i="1"/>
  <c r="BD98" i="1"/>
  <c r="BD97" i="1"/>
  <c r="BD96" i="1"/>
  <c r="BD95" i="1"/>
  <c r="BD94" i="1"/>
  <c r="BD93" i="1"/>
  <c r="BD92" i="1"/>
  <c r="BD91" i="1"/>
  <c r="BD90" i="1"/>
  <c r="BD89" i="1"/>
  <c r="BD88" i="1"/>
  <c r="BD87" i="1"/>
  <c r="BD86" i="1"/>
  <c r="BD85" i="1"/>
  <c r="BD84" i="1"/>
  <c r="BD83" i="1"/>
  <c r="BD82" i="1"/>
  <c r="BD81" i="1"/>
  <c r="BD80" i="1"/>
  <c r="BD79" i="1"/>
  <c r="BD78" i="1"/>
  <c r="BD77" i="1"/>
  <c r="BD76" i="1"/>
  <c r="BD75" i="1"/>
  <c r="BD74" i="1"/>
  <c r="BD73" i="1"/>
  <c r="BD72" i="1"/>
  <c r="BD71" i="1"/>
  <c r="BD70" i="1"/>
  <c r="BD69" i="1"/>
  <c r="BD68" i="1"/>
  <c r="BD67" i="1"/>
  <c r="BD66" i="1"/>
  <c r="BD65" i="1"/>
  <c r="BD64" i="1"/>
  <c r="BD63" i="1"/>
  <c r="BD62" i="1"/>
  <c r="BD61" i="1"/>
  <c r="BD60" i="1"/>
  <c r="BD59" i="1"/>
  <c r="BD58" i="1"/>
  <c r="BD57" i="1"/>
  <c r="BD56" i="1"/>
  <c r="BD55" i="1"/>
  <c r="BD54" i="1"/>
  <c r="BD53" i="1"/>
  <c r="BD52" i="1"/>
  <c r="BD51" i="1"/>
  <c r="BD50" i="1"/>
  <c r="BD49" i="1"/>
  <c r="BD48" i="1"/>
  <c r="BD47" i="1"/>
  <c r="BD46" i="1"/>
  <c r="BD45" i="1"/>
  <c r="BD44" i="1"/>
  <c r="BD43" i="1"/>
  <c r="BD42" i="1"/>
  <c r="BD41" i="1"/>
  <c r="BD40" i="1"/>
  <c r="BD39" i="1"/>
  <c r="BD38" i="1"/>
  <c r="BD37" i="1"/>
  <c r="BD36" i="1"/>
  <c r="BD35" i="1"/>
  <c r="BD34" i="1"/>
  <c r="BD33" i="1"/>
  <c r="BD32" i="1"/>
  <c r="BD31" i="1"/>
  <c r="BD30" i="1"/>
  <c r="BD29" i="1"/>
  <c r="BD28" i="1"/>
  <c r="BD27" i="1"/>
  <c r="BD26" i="1"/>
  <c r="BD25" i="1"/>
  <c r="BD24" i="1"/>
  <c r="BD23" i="1"/>
  <c r="BD22" i="1"/>
  <c r="BD21" i="1"/>
  <c r="BD20" i="1"/>
  <c r="BD19" i="1"/>
  <c r="BD18" i="1"/>
  <c r="BD17" i="1"/>
  <c r="BD16" i="1"/>
  <c r="BD15" i="1"/>
  <c r="BD14" i="1"/>
  <c r="BD13" i="1"/>
  <c r="BD12" i="1"/>
  <c r="BD11" i="1"/>
  <c r="BD10" i="1"/>
  <c r="BD9" i="1"/>
  <c r="BD8" i="1"/>
  <c r="BD7" i="1"/>
  <c r="BD6" i="1"/>
  <c r="BA7" i="1"/>
  <c r="BA8" i="1"/>
  <c r="BE8" i="1" s="1"/>
  <c r="BA9" i="1"/>
  <c r="BE9" i="1" s="1"/>
  <c r="BA10" i="1"/>
  <c r="BA11" i="1"/>
  <c r="BA12" i="1"/>
  <c r="BA13" i="1"/>
  <c r="BA14" i="1"/>
  <c r="BA15" i="1"/>
  <c r="BA16" i="1"/>
  <c r="BA17" i="1"/>
  <c r="BA18" i="1"/>
  <c r="BA19" i="1"/>
  <c r="BE19" i="1" s="1"/>
  <c r="BA20" i="1"/>
  <c r="BE20" i="1" s="1"/>
  <c r="BA21" i="1"/>
  <c r="BE21" i="1" s="1"/>
  <c r="BA22" i="1"/>
  <c r="BA23" i="1"/>
  <c r="BA24" i="1"/>
  <c r="BE24" i="1" s="1"/>
  <c r="BA25" i="1"/>
  <c r="BA26" i="1"/>
  <c r="BA27" i="1"/>
  <c r="BA28" i="1"/>
  <c r="BA29" i="1"/>
  <c r="BA30" i="1"/>
  <c r="BA31" i="1"/>
  <c r="BE31" i="1" s="1"/>
  <c r="BA32" i="1"/>
  <c r="BE32" i="1" s="1"/>
  <c r="BA33" i="1"/>
  <c r="BE33" i="1" s="1"/>
  <c r="BA34" i="1"/>
  <c r="BE34" i="1" s="1"/>
  <c r="BA35" i="1"/>
  <c r="BA36" i="1"/>
  <c r="BA37" i="1"/>
  <c r="BA38" i="1"/>
  <c r="BA39" i="1"/>
  <c r="BA40" i="1"/>
  <c r="BA41" i="1"/>
  <c r="BA42" i="1"/>
  <c r="BA43" i="1"/>
  <c r="BE43" i="1" s="1"/>
  <c r="BA44" i="1"/>
  <c r="BE44" i="1" s="1"/>
  <c r="BA45" i="1"/>
  <c r="BA46" i="1"/>
  <c r="BA47" i="1"/>
  <c r="BA48" i="1"/>
  <c r="BE48" i="1" s="1"/>
  <c r="BA49" i="1"/>
  <c r="BA50" i="1"/>
  <c r="BA51" i="1"/>
  <c r="BA52" i="1"/>
  <c r="BA53" i="1"/>
  <c r="BA54" i="1"/>
  <c r="BA55" i="1"/>
  <c r="BE55" i="1" s="1"/>
  <c r="BA56" i="1"/>
  <c r="BE56" i="1" s="1"/>
  <c r="BA57" i="1"/>
  <c r="BE57" i="1" s="1"/>
  <c r="BA58" i="1"/>
  <c r="BE58" i="1" s="1"/>
  <c r="BA59" i="1"/>
  <c r="BA60" i="1"/>
  <c r="BA61" i="1"/>
  <c r="BA62" i="1"/>
  <c r="BA63" i="1"/>
  <c r="BA64" i="1"/>
  <c r="BA65" i="1"/>
  <c r="BA66" i="1"/>
  <c r="BA67" i="1"/>
  <c r="BE67" i="1" s="1"/>
  <c r="BA68" i="1"/>
  <c r="BE68" i="1" s="1"/>
  <c r="BA69" i="1"/>
  <c r="BE69" i="1" s="1"/>
  <c r="BA70" i="1"/>
  <c r="BE70" i="1" s="1"/>
  <c r="BA71" i="1"/>
  <c r="BA72" i="1"/>
  <c r="BA73" i="1"/>
  <c r="BA74" i="1"/>
  <c r="BA75" i="1"/>
  <c r="BA76" i="1"/>
  <c r="BA77" i="1"/>
  <c r="BA78" i="1"/>
  <c r="BA79" i="1"/>
  <c r="BE79" i="1" s="1"/>
  <c r="BA80" i="1"/>
  <c r="BA81" i="1"/>
  <c r="BE81" i="1" s="1"/>
  <c r="BA82" i="1"/>
  <c r="BE82" i="1" s="1"/>
  <c r="BA83" i="1"/>
  <c r="BA84" i="1"/>
  <c r="BA85" i="1"/>
  <c r="BA86" i="1"/>
  <c r="BA87" i="1"/>
  <c r="BA88" i="1"/>
  <c r="BA89" i="1"/>
  <c r="BA90" i="1"/>
  <c r="BA91" i="1"/>
  <c r="BE91" i="1" s="1"/>
  <c r="BA92" i="1"/>
  <c r="BA93" i="1"/>
  <c r="BA94" i="1"/>
  <c r="BA95" i="1"/>
  <c r="BA96" i="1"/>
  <c r="BA97" i="1"/>
  <c r="BA98" i="1"/>
  <c r="BA99" i="1"/>
  <c r="BA100" i="1"/>
  <c r="BA101" i="1"/>
  <c r="BA102" i="1"/>
  <c r="BA103" i="1"/>
  <c r="BE103" i="1" s="1"/>
  <c r="BA104" i="1"/>
  <c r="BE104" i="1" s="1"/>
  <c r="BA105" i="1"/>
  <c r="BE105" i="1" s="1"/>
  <c r="BA106" i="1"/>
  <c r="BE106" i="1" s="1"/>
  <c r="BA107" i="1"/>
  <c r="BA108" i="1"/>
  <c r="BA109" i="1"/>
  <c r="BA110" i="1"/>
  <c r="BA111" i="1"/>
  <c r="BA112" i="1"/>
  <c r="BA113" i="1"/>
  <c r="BA114" i="1"/>
  <c r="BA115" i="1"/>
  <c r="BE115" i="1" s="1"/>
  <c r="BA116" i="1"/>
  <c r="BE116" i="1" s="1"/>
  <c r="BA117" i="1"/>
  <c r="BA118" i="1"/>
  <c r="BA119" i="1"/>
  <c r="BA120" i="1"/>
  <c r="BA121" i="1"/>
  <c r="BA122" i="1"/>
  <c r="BA123" i="1"/>
  <c r="BA124" i="1"/>
  <c r="BA125" i="1"/>
  <c r="BA126" i="1"/>
  <c r="BA127" i="1"/>
  <c r="BE127" i="1" s="1"/>
  <c r="BA128" i="1"/>
  <c r="BE128" i="1" s="1"/>
  <c r="BA129" i="1"/>
  <c r="BE129" i="1" s="1"/>
  <c r="BA130" i="1"/>
  <c r="BA131" i="1"/>
  <c r="BA132" i="1"/>
  <c r="BA133" i="1"/>
  <c r="BA134" i="1"/>
  <c r="BA135" i="1"/>
  <c r="BA136" i="1"/>
  <c r="BA137" i="1"/>
  <c r="BA138" i="1"/>
  <c r="BA139" i="1"/>
  <c r="BE139" i="1" s="1"/>
  <c r="BA140" i="1"/>
  <c r="BE140" i="1" s="1"/>
  <c r="BA141" i="1"/>
  <c r="BA142" i="1"/>
  <c r="BA143" i="1"/>
  <c r="BB143" i="1"/>
  <c r="BA6" i="1"/>
  <c r="AZ5" i="1"/>
  <c r="G5" i="1"/>
  <c r="G144" i="1"/>
  <c r="BE142" i="1" l="1"/>
  <c r="BE59" i="1"/>
  <c r="BE143" i="1"/>
  <c r="BE47" i="1"/>
  <c r="BE7" i="1"/>
  <c r="BE80" i="1"/>
  <c r="BB91" i="1"/>
  <c r="BB79" i="1"/>
  <c r="BB70" i="1"/>
  <c r="BB69" i="1"/>
  <c r="BB43" i="1"/>
  <c r="BB34" i="1"/>
  <c r="BB33" i="1"/>
  <c r="BB32" i="1"/>
  <c r="BB142" i="1"/>
  <c r="BB31" i="1"/>
  <c r="BB129" i="1"/>
  <c r="BB19" i="1"/>
  <c r="BB104" i="1"/>
  <c r="BB9" i="1"/>
  <c r="BB103" i="1"/>
  <c r="BB68" i="1"/>
  <c r="BB140" i="1"/>
  <c r="BB67" i="1"/>
  <c r="BB8" i="1"/>
  <c r="BB139" i="1"/>
  <c r="BB55" i="1"/>
  <c r="BB7" i="1"/>
  <c r="BB48" i="1"/>
  <c r="BB128" i="1"/>
  <c r="BB47" i="1"/>
  <c r="BB127" i="1"/>
  <c r="BB44" i="1"/>
  <c r="BA5" i="1"/>
  <c r="BA144" i="1"/>
  <c r="BB123" i="1"/>
  <c r="BE123" i="1"/>
  <c r="BB63" i="1"/>
  <c r="BE63" i="1"/>
  <c r="BB15" i="1"/>
  <c r="BE15" i="1"/>
  <c r="BB86" i="1"/>
  <c r="BE86" i="1"/>
  <c r="BB26" i="1"/>
  <c r="BE26" i="1"/>
  <c r="BB121" i="1"/>
  <c r="BE121" i="1"/>
  <c r="BB73" i="1"/>
  <c r="BE73" i="1"/>
  <c r="BB49" i="1"/>
  <c r="BE49" i="1"/>
  <c r="BB132" i="1"/>
  <c r="BE132" i="1"/>
  <c r="BB96" i="1"/>
  <c r="BE96" i="1"/>
  <c r="BB12" i="1"/>
  <c r="BE12" i="1"/>
  <c r="BB107" i="1"/>
  <c r="BE107" i="1"/>
  <c r="BB11" i="1"/>
  <c r="BE11" i="1"/>
  <c r="BB22" i="1"/>
  <c r="BE22" i="1"/>
  <c r="BB45" i="1"/>
  <c r="BE45" i="1"/>
  <c r="BE6" i="1"/>
  <c r="BB6" i="1"/>
  <c r="BB99" i="1"/>
  <c r="BE99" i="1"/>
  <c r="BB51" i="1"/>
  <c r="BE51" i="1"/>
  <c r="BB134" i="1"/>
  <c r="BE134" i="1"/>
  <c r="BB74" i="1"/>
  <c r="BE74" i="1"/>
  <c r="BB38" i="1"/>
  <c r="BE38" i="1"/>
  <c r="BB133" i="1"/>
  <c r="BE133" i="1"/>
  <c r="BB85" i="1"/>
  <c r="BE85" i="1"/>
  <c r="BB37" i="1"/>
  <c r="BE37" i="1"/>
  <c r="BB84" i="1"/>
  <c r="BE84" i="1"/>
  <c r="BB95" i="1"/>
  <c r="BE95" i="1"/>
  <c r="BB118" i="1"/>
  <c r="BE118" i="1"/>
  <c r="BB46" i="1"/>
  <c r="BE46" i="1"/>
  <c r="BB117" i="1"/>
  <c r="BE117" i="1"/>
  <c r="BB116" i="1"/>
  <c r="BB138" i="1"/>
  <c r="BE138" i="1"/>
  <c r="BB102" i="1"/>
  <c r="BE102" i="1"/>
  <c r="BB90" i="1"/>
  <c r="BE90" i="1"/>
  <c r="BB66" i="1"/>
  <c r="BE66" i="1"/>
  <c r="BB42" i="1"/>
  <c r="BE42" i="1"/>
  <c r="BB30" i="1"/>
  <c r="BE30" i="1"/>
  <c r="BB18" i="1"/>
  <c r="BE18" i="1"/>
  <c r="BB111" i="1"/>
  <c r="BE111" i="1"/>
  <c r="BB87" i="1"/>
  <c r="BE87" i="1"/>
  <c r="BB39" i="1"/>
  <c r="BE39" i="1"/>
  <c r="BB110" i="1"/>
  <c r="BE110" i="1"/>
  <c r="BB62" i="1"/>
  <c r="BE62" i="1"/>
  <c r="BB14" i="1"/>
  <c r="BE14" i="1"/>
  <c r="BB97" i="1"/>
  <c r="BE97" i="1"/>
  <c r="BB13" i="1"/>
  <c r="BE13" i="1"/>
  <c r="BB120" i="1"/>
  <c r="BE120" i="1"/>
  <c r="BB72" i="1"/>
  <c r="BE72" i="1"/>
  <c r="BB131" i="1"/>
  <c r="BE131" i="1"/>
  <c r="BB83" i="1"/>
  <c r="BE83" i="1"/>
  <c r="BB35" i="1"/>
  <c r="BE35" i="1"/>
  <c r="BB94" i="1"/>
  <c r="BE94" i="1"/>
  <c r="BB10" i="1"/>
  <c r="BE10" i="1"/>
  <c r="BB141" i="1"/>
  <c r="BE141" i="1"/>
  <c r="BB92" i="1"/>
  <c r="BE92" i="1"/>
  <c r="BB58" i="1"/>
  <c r="BB114" i="1"/>
  <c r="BE114" i="1"/>
  <c r="BB54" i="1"/>
  <c r="BE54" i="1"/>
  <c r="BB106" i="1"/>
  <c r="BB57" i="1"/>
  <c r="BB21" i="1"/>
  <c r="BB137" i="1"/>
  <c r="BE137" i="1"/>
  <c r="BB125" i="1"/>
  <c r="BE125" i="1"/>
  <c r="BB113" i="1"/>
  <c r="BE113" i="1"/>
  <c r="BB101" i="1"/>
  <c r="BE101" i="1"/>
  <c r="BB89" i="1"/>
  <c r="BE89" i="1"/>
  <c r="BB77" i="1"/>
  <c r="BE77" i="1"/>
  <c r="BB65" i="1"/>
  <c r="BE65" i="1"/>
  <c r="BB53" i="1"/>
  <c r="BE53" i="1"/>
  <c r="BB41" i="1"/>
  <c r="BB29" i="1"/>
  <c r="BE29" i="1"/>
  <c r="BB17" i="1"/>
  <c r="BE17" i="1"/>
  <c r="BB135" i="1"/>
  <c r="BE135" i="1"/>
  <c r="BB75" i="1"/>
  <c r="BE75" i="1"/>
  <c r="BB27" i="1"/>
  <c r="BE27" i="1"/>
  <c r="BB122" i="1"/>
  <c r="BE122" i="1"/>
  <c r="BB98" i="1"/>
  <c r="BE98" i="1"/>
  <c r="BB50" i="1"/>
  <c r="BE50" i="1"/>
  <c r="BB109" i="1"/>
  <c r="BE109" i="1"/>
  <c r="BB61" i="1"/>
  <c r="BE61" i="1"/>
  <c r="BB25" i="1"/>
  <c r="BE25" i="1"/>
  <c r="BB108" i="1"/>
  <c r="BE108" i="1"/>
  <c r="BB60" i="1"/>
  <c r="BE60" i="1"/>
  <c r="BB36" i="1"/>
  <c r="BE36" i="1"/>
  <c r="BB119" i="1"/>
  <c r="BE119" i="1"/>
  <c r="BB71" i="1"/>
  <c r="BE71" i="1"/>
  <c r="BB23" i="1"/>
  <c r="BE23" i="1"/>
  <c r="BB130" i="1"/>
  <c r="BE130" i="1"/>
  <c r="BB93" i="1"/>
  <c r="BE93" i="1"/>
  <c r="BB59" i="1"/>
  <c r="BB115" i="1"/>
  <c r="BB24" i="1"/>
  <c r="BB126" i="1"/>
  <c r="BE126" i="1"/>
  <c r="BB105" i="1"/>
  <c r="BB56" i="1"/>
  <c r="BB20" i="1"/>
  <c r="BB136" i="1"/>
  <c r="BE136" i="1"/>
  <c r="BB124" i="1"/>
  <c r="BE124" i="1"/>
  <c r="BB112" i="1"/>
  <c r="BE112" i="1"/>
  <c r="BB100" i="1"/>
  <c r="BE100" i="1"/>
  <c r="BB88" i="1"/>
  <c r="BE88" i="1"/>
  <c r="BB76" i="1"/>
  <c r="BE76" i="1"/>
  <c r="BB64" i="1"/>
  <c r="BE64" i="1"/>
  <c r="BB52" i="1"/>
  <c r="BE52" i="1"/>
  <c r="BB40" i="1"/>
  <c r="BE40" i="1"/>
  <c r="BB28" i="1"/>
  <c r="BE28" i="1"/>
  <c r="BB16" i="1"/>
  <c r="BE16" i="1"/>
  <c r="BB78" i="1"/>
  <c r="BE78" i="1"/>
  <c r="BE41" i="1" l="1"/>
  <c r="BE144" i="1" s="1"/>
  <c r="BD144" i="1"/>
  <c r="BB144" i="1"/>
  <c r="H5" i="1"/>
  <c r="I5" i="1"/>
  <c r="J5" i="1"/>
  <c r="K5" i="1"/>
  <c r="L5" i="1"/>
  <c r="M5" i="1"/>
  <c r="N5" i="1"/>
  <c r="O5" i="1"/>
  <c r="P5" i="1"/>
  <c r="Q5" i="1"/>
  <c r="R5" i="1"/>
  <c r="S5" i="1"/>
  <c r="T5" i="1"/>
  <c r="U5" i="1"/>
  <c r="V5" i="1"/>
  <c r="W5" i="1"/>
  <c r="X5" i="1"/>
  <c r="Y5" i="1"/>
  <c r="Z5" i="1"/>
  <c r="AA5" i="1"/>
  <c r="AB5" i="1"/>
  <c r="AC5" i="1"/>
  <c r="AD5" i="1"/>
  <c r="AE5" i="1"/>
  <c r="AF5" i="1"/>
  <c r="AG5" i="1"/>
  <c r="AH5" i="1"/>
  <c r="AI5" i="1"/>
  <c r="AJ5" i="1"/>
  <c r="AK5" i="1"/>
  <c r="AL5" i="1"/>
  <c r="AM5" i="1"/>
  <c r="AN5" i="1"/>
  <c r="AO5" i="1"/>
  <c r="AP5" i="1"/>
  <c r="AQ5" i="1"/>
  <c r="AR5" i="1"/>
  <c r="AS5" i="1"/>
  <c r="AT5" i="1"/>
  <c r="AU5" i="1"/>
  <c r="AV5" i="1"/>
  <c r="AW5" i="1"/>
  <c r="AX5" i="1"/>
  <c r="AY5" i="1"/>
  <c r="F5" i="1"/>
  <c r="AZ144" i="1" l="1"/>
  <c r="AY144" i="1"/>
  <c r="AX144" i="1"/>
  <c r="AW144" i="1"/>
  <c r="AV144" i="1"/>
  <c r="AU144" i="1"/>
  <c r="AT144" i="1"/>
  <c r="AS144" i="1"/>
  <c r="AR144" i="1"/>
  <c r="AQ144" i="1"/>
  <c r="AP144" i="1"/>
  <c r="AO144" i="1"/>
  <c r="AN144" i="1"/>
  <c r="AM144" i="1"/>
  <c r="AL144" i="1"/>
  <c r="AK144" i="1"/>
  <c r="AJ144" i="1"/>
  <c r="AI144" i="1"/>
  <c r="AH144" i="1"/>
  <c r="AG144" i="1"/>
  <c r="AF144" i="1"/>
  <c r="AE144" i="1"/>
  <c r="AD144" i="1"/>
  <c r="AC144" i="1"/>
  <c r="AB144" i="1"/>
  <c r="AA144" i="1"/>
  <c r="Z144" i="1"/>
  <c r="Y144" i="1"/>
  <c r="X144" i="1"/>
  <c r="W144" i="1"/>
  <c r="V144" i="1"/>
  <c r="U144" i="1"/>
  <c r="T144" i="1"/>
  <c r="S144" i="1"/>
  <c r="R144" i="1"/>
  <c r="Q144" i="1"/>
  <c r="P144" i="1"/>
  <c r="O144" i="1"/>
  <c r="N144" i="1"/>
  <c r="M144" i="1"/>
  <c r="L144" i="1"/>
  <c r="K144" i="1"/>
  <c r="J144" i="1"/>
  <c r="I144" i="1"/>
  <c r="H144" i="1"/>
  <c r="F144" i="1"/>
</calcChain>
</file>

<file path=xl/sharedStrings.xml><?xml version="1.0" encoding="utf-8"?>
<sst xmlns="http://schemas.openxmlformats.org/spreadsheetml/2006/main" count="472" uniqueCount="335">
  <si>
    <t>Categoria Равно "INSTRUMENTAR"</t>
  </si>
  <si>
    <t>Unitatea de măsură</t>
  </si>
  <si>
    <t>ADMINISTRATIA NATIONALA A PENITENCIARELOR (0004)</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</si>
  <si>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</si>
  <si>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</si>
  <si>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</si>
  <si>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</si>
  <si>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</si>
  <si>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CIORESCU (0214)</t>
  </si>
  <si>
    <t>IMSP CENTRUL DE SANATATE FUNDURII VECHI (0262)</t>
  </si>
  <si>
    <t>IMSP CENTRUL DE SANATATE HARBOVAT (0277)</t>
  </si>
  <si>
    <t>IMSP CENTRUL DE SANATATE HORESTI (0279)</t>
  </si>
  <si>
    <t>IMSP INSTITUTUL DE CARDIOLOGIE (0425)</t>
  </si>
  <si>
    <t>IMSP INSTITUTUL DE MEDICINA URGENTA (0426)</t>
  </si>
  <si>
    <t>IMSP INSTITUTUL DE PNEUMOLOGIE CHIRIL DRAGANIUC (0428)</t>
  </si>
  <si>
    <t>IMSP INSTITUTUL ONCOLOGIC (0430)</t>
  </si>
  <si>
    <t>IMSP POLICLINICA DE STAT (0432)</t>
  </si>
  <si>
    <t>IMSP POLICLINICA STOMATOLOGICA REPUBLICANA (0433)</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</si>
  <si>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</si>
  <si>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</si>
  <si>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</si>
  <si>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</si>
  <si>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</si>
  <si>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</si>
  <si>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</si>
  <si>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BRICENI (0455)</t>
  </si>
  <si>
    <t>IMSP SPITALUL RAIONAL CAHUL (0456)</t>
  </si>
  <si>
    <t>IMSP SPITALUL RAIONAL CALARASI (0457)</t>
  </si>
  <si>
    <t>IMSP SPITALUL RAIONAL CANTEMIR (0458)</t>
  </si>
  <si>
    <t>IMSP SPITALUL RAIONAL CAUSENI ANA SI ALEXANDRU (0459)</t>
  </si>
  <si>
    <t>IMSP SPITALUL RAIONAL CIMISLIA (0461)</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</si>
  <si>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</si>
  <si>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</si>
  <si>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</si>
  <si>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</si>
  <si>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</si>
  <si>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</si>
  <si>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LEOVA (0472)</t>
  </si>
  <si>
    <t>IMSP SPITALUL RAIONAL RASCANI (0476)</t>
  </si>
  <si>
    <t>IMSP SPITALUL RAIONAL REZINA (0477)</t>
  </si>
  <si>
    <t>IMSP SPITALUL RAIONAL SANGEREI (0478)</t>
  </si>
  <si>
    <t>IMSP SPITALUL RAIONAL SOLDANESTI (0479)</t>
  </si>
  <si>
    <t>IMSP SPITALUL RAIONAL SOROCA A PRISACARI (0480)</t>
  </si>
  <si>
    <t>IMSP SPITALUL RAIONAL TELENESTI (0484)</t>
  </si>
  <si>
    <t>IMSP SPITALUL RAIONAL UNGHENI (0485)</t>
  </si>
  <si>
    <t>SERVICIUL MEDICAL AL MINISTERULUI AFACERILOR INTERNE (0570)</t>
  </si>
  <si>
    <t>SPITALUL CLINIC MILITAR CENTRAL (0576)</t>
  </si>
  <si>
    <t>IMSP   CS  IGNATEI</t>
  </si>
  <si>
    <t>Bucată</t>
  </si>
  <si>
    <t>Instrument pentru chirugia toracică Aspirator toracoscopic ( 007637 )</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</si>
  <si>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</si>
  <si>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( 007612 )</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</si>
  <si>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</si>
  <si>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chirurgie oftalmologică Cuțit LRI ( 007826 )</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</si>
  <si>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</si>
  <si>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Foarfecă (virf) pentru iridectomie Zaldivar cu miner inclus ( 007689 )</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</si>
  <si>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</si>
  <si>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Pensa capsulorexis Kershner 23G cu miner inclus ( 007741 )</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</si>
  <si>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</si>
  <si>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Prechoper ( 007924 )</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</si>
  <si>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</si>
  <si>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( 007934 )</t>
  </si>
  <si>
    <t>Instrument pentru chirurgie oftalmologică. Ridicător de pleoape 14x13mm (REF.: В-13,5).</t>
  </si>
  <si>
    <t>Instrument pentru chirurgie ORL Elevator-decolator septal tip FREER ( 007687 )</t>
  </si>
  <si>
    <t xml:space="preserve">Instrument pentru chirurgie ORL. Elevator-decolator septal tip FREER,lungimea totala 190 mm (±10mm),bond la virf ,lungimea de lucru 7,5mm. </t>
  </si>
  <si>
    <t>Instrument pentru chirurgie ORL Foarfecă auriculara ( 007690 )</t>
  </si>
  <si>
    <t>Instrument pentru chirurgie ORL.  Foarfeca auriculara, bransile drepte, ascuțite,lungimea totala 11,5 cm (±10mm), inox medical,reutilizabil.</t>
  </si>
  <si>
    <t>Instrument pentru chirurgie ORL Foarfecă Boettcher p/u  tonzilectomie ( 007488 )</t>
  </si>
  <si>
    <t>Instrument pentru chirurgie ORL. Foarfece p/u  tonzilectomie curbe cu vârfuri bonte, lățime 2,5-3,0mm, 180mm (+/- 5 mm) x40mm. Tip  Boettcher. 
*Reutilizabil, material inox medical.</t>
  </si>
  <si>
    <t>Instrument pentru chirurgie ORL Foarfecă nazala FOMON sub 45° ( 007701 )</t>
  </si>
  <si>
    <t>Instrument pentru chirurgie ORL. Foarfece nazale sub 45°FOMON, lungimea 130mm (+/- 10 mm) x lungimea de lucru 50mm.
*Reutilizabil, material inox medical,nesteril ,autoclavabil.</t>
  </si>
  <si>
    <t>Instrument pentru chirurgie ORL Foarfecă nazale Iris sub 45° ( 007510 )</t>
  </si>
  <si>
    <t>Instrument pentru chirurgie ORL.  Foarfece nazale sub 45°, lungimea 110-120mm.  Tip Iris, delicat. 
*Reutilizabil, material inox medical.</t>
  </si>
  <si>
    <t>Instrument pentru chirurgie ORL Lingură auriculară ( 007886 )</t>
  </si>
  <si>
    <t>Instrument pentru chirurgie ORL. Lingură auriculară dublă, cu vîrf ascuțit, metal inoxidabil.  (Ref.: Л 53).</t>
  </si>
  <si>
    <t>Instrument pentru chirurgie ORL Micro-pensa auriculara tip Hartmann ( 007721 )</t>
  </si>
  <si>
    <t xml:space="preserve">Instrument pentru chirurgie ORL. Micro pensa auriculara Hartmann, cupe ovale, dreapta, fina,marimea bransei 0.8x1.3 mm, lungimea totala 8cm (+-5mm), inox medical,reutilizabil. </t>
  </si>
  <si>
    <t>Instrument pentru chirurgie ORL Pensă auriculara tip McGee ( 007739 )</t>
  </si>
  <si>
    <t xml:space="preserve">Instrument pentru chirurgie ORL. Pensa auriculara tip McGee,bransile drepte cu dimensiuni 0,8x3,5 mm, bransile drepte,lungimea totala 8 cm(+/-5mm), inox medical,reutilizabil. </t>
  </si>
  <si>
    <t>Instrument pentru chirurgie ORL Pensă tip Jansen ( 007740 )</t>
  </si>
  <si>
    <t>Instrument pentru chirurgie ORL. Pensa nazala tip baioneta Jansen dimensiuni 18cm-20 cm gofrat. Material inox medical, nesteril, reutilizabil, obligatoriu ambalaj individual cu sigiliu pentru prima deschidere.</t>
  </si>
  <si>
    <t>Instrument pentru chirurgie ORL Specul nazal Hartman-halle, 35mm ( 007619 )</t>
  </si>
  <si>
    <t>Instrument pentru chirurgie ORL. Specul nazal, tip Hartman-halle, 35mm.
*Reutilizabil, material inox medical.</t>
  </si>
  <si>
    <t>Instrument pentru chirurgie ORL Specul nazal KILLIAN-STRUYCKEN(mare) ( 007793 )</t>
  </si>
  <si>
    <t>Instrument pentru chirurgie ORL. Specul nazal tip KILLIAN-STRUYCKEN,lungimea totala 13,5 cm  (+/-10mm), lungimea de lamei 55mm, inox medical reutilizabil, model standard.</t>
  </si>
  <si>
    <t>Instrument pentru curațare Perie de curațare pentru endoscop, cu 2 capete diamatre 1,6 mm și 3 mm ( 007766 )</t>
  </si>
  <si>
    <t xml:space="preserve">Instrument pentru curațare. Perie de curațare pentru endoscop, cu 2 capete diamatre 1,6 mm și 3 mm.  Perie de curatare pentru endoscop cu 2 capete lucratoare. Lungimea totala 2300mm, diametru total 1,6mm. Lungimea perii 20mm,deametru perii 3mm. </t>
  </si>
  <si>
    <t>Instrument pentru curațare Perie de curațare pentru endoscop, cu 2 capete diamatre 1,8 mm și 5 mm ( 007767 )</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</si>
  <si>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</si>
  <si>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cu olivă ( 007635 )</t>
  </si>
  <si>
    <t>Instrumente chirurgicale de ghidaj. Ac pentru canularea venelor, lungime 90 mm, 13GA , vârf - olive diametrul 2,4 mm. Conector Luer Lock. Instrumentului, material inox medical, nesteril.</t>
  </si>
  <si>
    <t>Instrumente chirurgicale de ghidaj Stilet butonat ( 007797 )</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</si>
  <si>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</si>
  <si>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( 007809 )</t>
  </si>
  <si>
    <t>Instrumente chirurgicale de ghidaj. Tunelizator Allenberg, curbat, 540mm  (+/-10mm), mânere cu clichet,  nesteril, reutilizabil, material inox medical.</t>
  </si>
  <si>
    <t>Instrumente chirurgicale rectale Specula rectala bivalva Sims ( 007621 )</t>
  </si>
  <si>
    <t>Instrumente chirurgicale rectale. Specula rectala bivalva, tip Sims, 155 mm (+/-5mm), lung oglinzii 90 mm(+/-5mm), diametru 17 mm.
*Reutilizabil, material inox medical.</t>
  </si>
  <si>
    <t>Instrumente de irigație și aspirație Spălător trocar, 10mm ( 007941 )</t>
  </si>
  <si>
    <t>Instrumente de irigație și aspirație. Spălător trocar, diametru 10 mm, material - cauciuc, reutilizabil, autoclavabil.</t>
  </si>
  <si>
    <t>Instrumente de irigație și aspirație Spălător trocar, 5mm ( 007942 )</t>
  </si>
  <si>
    <t>Instrumente de irigație și aspirație. Spălător trocar, diametru 5 mm, material - cauciuc, reutilizabil, autoclavabil.</t>
  </si>
  <si>
    <t>Instrumente de irigație și aspirație Tub pentru punctie cu control de aspiratie ( 007632 )</t>
  </si>
  <si>
    <t>Instrumente de irigație și aspirație. Tub pentru puncție cu control de aspirație a chisturilor, din 2 parți: corp- diametrul 5mm, vârful acului pentru puncție diametrul 1,6mm, Lungimea - 360mm, conector Luer.
*Reutilizabil, material inox medical.</t>
  </si>
  <si>
    <t>Instrumente de sterilizare și de depozitare a instrumentelor chirurgicale Casolete medicale pentru sterilizare ( 007816 )</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</si>
  <si>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</si>
  <si>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x25 cm cu plasa interioara detașabilă ( 007820 )</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</si>
  <si>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</si>
  <si>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si pastrare a instrumentelor ( 007824 )</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</si>
  <si>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</si>
  <si>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Cuvă dreptunghiulară 220x115mm ( 007830 )</t>
  </si>
  <si>
    <t>Instrumente de sterilizare și de depozitare a instrumentelor chirurgicale. Cuvă dreptunghiulara, 220x115 (±10mm), inox.</t>
  </si>
  <si>
    <t>Instrumente de sterilizare și de depozitare a instrumentelor chirurgicale Cuvă dreptunghiulara 240x520mm ( 006105 )</t>
  </si>
  <si>
    <t>Instrumente de sterilizare și de depozitare a instrumentelor chirurgicale. Cuva dreptunghiulara, 240x520 (+/- 20) mm,  inox.</t>
  </si>
  <si>
    <t>Instrumente de sterilizare și de depozitare a instrumentelor chirurgicale Cuvă dreptunghiulară 260x165mm ( 007831 )</t>
  </si>
  <si>
    <t>Instrumente de sterilizare și de depozitare a instrumentelor chirurgicale. Cuvă dreptunghiulara, 260x165 (±10mm), inox.</t>
  </si>
  <si>
    <t>Instrumente de sterilizare și de depozitare a instrumentelor chirurgicale Cuvă dreptunghiulară 300x220mm ( 007832 )</t>
  </si>
  <si>
    <t>Instrumente de sterilizare și de depozitare a instrumentelor chirurgicale. Cuvă dreptunghiulara, 300x220 (±10mm), inox.</t>
  </si>
  <si>
    <t>Instrumente de sterilizare și de depozitare a instrumentelor chirurgicale Cuvă dreptunghiulară 310x240mm ( 007833 )</t>
  </si>
  <si>
    <t>Instrumente de sterilizare și de depozitare a instrumentelor chirurgicale. Cuvă dreptunghiulara, 310x240 (±10mm), inox.</t>
  </si>
  <si>
    <t>Instrumente de sterilizare și de depozitare a instrumentelor chirurgicale Cuvă dreptunghiulară 400x300mm ( 007834 )</t>
  </si>
  <si>
    <t>Instrumente de sterilizare și de depozitare a instrumentelor chirurgicale. Cuvă dreptunghiulara, 400x300 (±10mm), inox.</t>
  </si>
  <si>
    <t>Instrumente de sterilizare și de depozitare a instrumentelor chirurgicale Cuvă reniformă metalică 20cm ( 007836 )</t>
  </si>
  <si>
    <t>Instrumente de sterilizare și de depozitare a instrumentelor chirurgicale. Cuvă reniformă metalică 20cm (±1cm).</t>
  </si>
  <si>
    <t>Instrumente de sterilizare și de depozitare a instrumentelor chirurgicale Cuvă reniformă metalică 22cm ( 007837 )</t>
  </si>
  <si>
    <t>Instrumente de sterilizare și de depozitare a instrumentelor chirurgicale. Cuvă reniformă metalică 22cm (±1cm).</t>
  </si>
  <si>
    <t>Instrumente endoscopice Forceps biopsie "fierbinte" ( 007702 )</t>
  </si>
  <si>
    <t xml:space="preserve">Instrumente endoscopice. Forceps biopsie pentru diametru canalului de lucru 2,8-3,7mm(la cerere), cu diametru sculei numai mic de 2,6 mm,  lungimea nu mai mica de 230 cm. </t>
  </si>
  <si>
    <t>Instrumente endoscopice Forceps biopsie bronhoscop/laringoscop 2.2 mm ( 007873 )</t>
  </si>
  <si>
    <t>Instrumente endoscopice. Forceps biopsie pentru bronhoscop cu canalul de biopsie 2.2mm. Lungimea 110cm – 130cm.</t>
  </si>
  <si>
    <t>Instrumente endoscopice Forceps biopsie colonoscop ( 007874 )</t>
  </si>
  <si>
    <t>Instrumente endoscopice. Forceps biopsie colonoscop cu diametrul canalului de 2,8-3,2mm, cu ac,lungimea-230cm (+/- 10 mm).</t>
  </si>
  <si>
    <t>Instrumente endoscopice Forceps biopsie gastroscop ( 007875 )</t>
  </si>
  <si>
    <t>Instrumente endoscopice. Forceps biopsie gastroscop pentru canalul de lucru cu diametrul de 2,2-2,8mm,cu ac,lungimea: 160 -180 cm.</t>
  </si>
  <si>
    <t>Instrumente endoscopice Forceps de litoextractie pentru ureteroscop, 1,4 mm., cu branse cupe serate ( 007878 )</t>
  </si>
  <si>
    <t>Instrumente endoscopice. Forceps de litoextractie pentru ureteroscop, semirigid,  lungimea 600 mm (+/- 10 mm). Diametru 1,4 mm., cu branse cupe serate.</t>
  </si>
  <si>
    <t>Instrumente endoscopice Forceps endoscopic pentru hemostaza prin coagulare ( 007703 )</t>
  </si>
  <si>
    <t>Instrumente endoscopice. Forceps endoscopic pentru hemostaza prin coagulare, cu conector lateral. Deschiderea branselor 5-9mm. Lungimea 2300mm (+-10mm).</t>
  </si>
  <si>
    <t>Instrumente endoscopice Forceps tip  combinat “Aligator” si "dinte de soarece" ( 007704 )</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</si>
  <si>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</si>
  <si>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( 007705 )</t>
  </si>
  <si>
    <t>Instrumente endoscopice. Forceps tip "pelican" pentru extragerea corpi straini, bransele deschise &gt; 17 mm, diametrul 2,5-2,8 mm, lungimea 160-280  cm.</t>
  </si>
  <si>
    <t>Instrumente endoscopice Forcepsele Tischler Biopsy Punch ( 007880 )</t>
  </si>
  <si>
    <t>Instrumente endoscopice. Forcepsele Tischler Biopsy Punch. Forcepsul fabricat din oțel inoxidabil cu arbore de 10"(25,4cm), mușcătura 3x7mm cu blocare ușor de utilizat pentru degetul mare.</t>
  </si>
  <si>
    <t>Instrumente hemostatice Pensă port-tampon tip Mayer, curb, 260mm ( 007577 )</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</si>
  <si>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</si>
  <si>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tip COLLER-CRILE 140mm ( 007557 )</t>
  </si>
  <si>
    <t>Instrumente hemostatice. Pensă hemostatică COLLER-CRILE: dreapta cu clemariera 140mm  (+/- 5 mm). 
Reutilizabil, material inox medical, nesteril, duritatea metalului în limitele 40-48 HRC confirmată prin certificat de la producator., Bucată</t>
  </si>
  <si>
    <t>Instrumente hemostatice Pensă tip CRILE ( 007559 )</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</si>
  <si>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</si>
  <si>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Pensă tip FOERSTER ( 007581 )</t>
  </si>
  <si>
    <t>Instrumente hemostatice. Pensa tip FOERSTER, cu cremaliera ,lungimea 250mm (+/-5 mm)
*Reutilizabil, material inox medical.</t>
  </si>
  <si>
    <t>Instrumente hemostatice Pensă tip Kocher-Ochsner, curb, 240mm ( 007565 )</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</si>
  <si>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</si>
  <si>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tip Mosquito, 125mm ( 007554 )</t>
  </si>
  <si>
    <t>Instrumente hemostatice. Pensă de tip ”Mosquito” vertical încovoiat, vârf fin, lungime 125mm (+/-5mm).
*Reutilizabil, material inox medical.</t>
  </si>
  <si>
    <t>Instrumente hemostatice Pensă tip Rochester-Ochsner  curbă 150mm. (Kocher) ( 007561 )</t>
  </si>
  <si>
    <t xml:space="preserve">Instrumente hemostatice. Pensă hemostatică Rochester-Ochsner 1x2 dinți, curbă, lungime -150mm (+/-5mm) (Kocher).
*Reutilizabil, material inox medical. </t>
  </si>
  <si>
    <t>Instrumente hemostatice Pensă tip Rochester-Ochsner dreapta 200mm. (Kocher) ( 007563 )</t>
  </si>
  <si>
    <t>Instrumente hemostatice. Pensă hemostatică Rochester-Ochsner 1x2 dinți , drepți Nr 3 (200mm(+/-5mm)) Kocher,  55x0,5mm, cu clemieră
*Reutilizabil, material inox medical.</t>
  </si>
  <si>
    <t>Instrumente hemostatice Pensă tip SATINSTRUKY, 205mm ( 007579 )</t>
  </si>
  <si>
    <t>Instrumente hemostatice. Pesa SATINSTRUKY 205mm (+/- 5 mm).
*Reutilizabil, material inox medical.</t>
  </si>
  <si>
    <t>Instrumente laparoscopice Foarfecă Metzenbaun endoscopic, 400 mm ( 007508 )</t>
  </si>
  <si>
    <t>Instrumente laparoscopice Împingător de nod extern ( 007522 )</t>
  </si>
  <si>
    <t>Instrumente laparoscopice. Împingător de nod extern: L-310mm (+/-10 mm),D-5mm. 
*Reutilizabil, material inox medical.</t>
  </si>
  <si>
    <t>Instrumente laparoscopice Pensa laparoscopică monopolară tip DeBakey ( 007898 )</t>
  </si>
  <si>
    <t>Instrumente laparoscopice. Pensa laparoscopică monopolară DeBakey 5 mm, 360 mm (+/-10mm).</t>
  </si>
  <si>
    <t>Instrumente laparoscopice Pensa laparoscopică monopolară tip Maryland ( 007899 )</t>
  </si>
  <si>
    <t>Instrumente laparoscopice. Pensa laparoscopică monopolară Maryland 5 mm, 360 mm (+/-10mm).</t>
  </si>
  <si>
    <t>Instrumente medicale pentru îndepîrtarea pansamentelor și gipsului Foarfecă Lister 11 cm ( 007863 )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</si>
  <si>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</si>
  <si>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Instrumente medicale pentru îndepîrtarea pansamentelor și gipsului Foarfecă Lister 14 cm ( 007864 )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</si>
  <si>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</si>
  <si>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Foarfecă Lister 9 cm ( 007862 )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</si>
  <si>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</si>
  <si>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anestezie și intubație Pensa tip Magill ( 007901 )</t>
  </si>
  <si>
    <t>Instrumente pentru anestezie și intubație. Pensa Magill Adult, din inox, utilizata in intubatia traheala.</t>
  </si>
  <si>
    <t>Instrumente pentru aspirație și irigare Canula pentru aspirație FRAZIER - curbă, Ø1,5mm ( 007452 )</t>
  </si>
  <si>
    <t>Instrumente pentru aspirație și irigare. Canula pentru aspirație FRAZIER - curbă, Ø1,5mm (±0.1mm), lungimea de lucru 9-11cm. 
*Reutilizabil, material inox medical.</t>
  </si>
  <si>
    <t>Instrumente pentru chirurgia abdominală Foarfecă intestinal tip Barnard ( 007861 )</t>
  </si>
  <si>
    <t>Instrumente pentru chirurgia abdominală. Foarfece Barnard pentru intestine, vârf bontat, drept, lungime 100 mm  ±5mm. ( Cod referinta DDP-PM/156 sau analog).</t>
  </si>
  <si>
    <t>Instrumente pentru chirurgia cardiovasculară Clamă vasculară atraumatică tip DERRA  DE BAKEY ( 007647 )</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</si>
  <si>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</si>
  <si>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Clamp DeBakey pentru ligatura vaselor mari (cava inferioara) ( 007659 )</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</si>
  <si>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</si>
  <si>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(venele pulmonare) ( 007660 )</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</si>
  <si>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</si>
  <si>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Foarfecă Potts-Smith 180mm ( 007513 )</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</si>
  <si>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</si>
  <si>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Pensă vasculară atraumatică tip DE BAKEY, lung.200 mm, 1,5mm ( 007588 )</t>
  </si>
  <si>
    <t>Instrumente pentru chirurgia cardiovasculară Venoextractor Nabatoff ( 007633 )</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</si>
  <si>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</si>
  <si>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 140mm ( 007638 )</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</si>
  <si>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</si>
  <si>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160mm ( 007639 )</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</si>
  <si>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</si>
  <si>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Burghiu 200-250mm., la diametru 2,8mm ( 007446 )</t>
  </si>
  <si>
    <t>Instrumente pentru chirurgia ortopedică și osteotomică. Burghiu 200-250mm., la diametru 2,8mm
*Reutilizabil, material inox medical.</t>
  </si>
  <si>
    <t>Instrumente pentru chirurgia ortopedică și osteotomică Chireta chirurgicala cu mainer de lemn. ( 007817 )</t>
  </si>
  <si>
    <t>Instrumente pentru chirurgia ortopedică și osteotomică Chireta chirurgicala cu mainer de lemn. Lungimea 270 mm(+/-10mm), latimea partii lucrative 8.5 mm.</t>
  </si>
  <si>
    <t>Instrumente pentru chirurgia ortopedică și osteotomică Ciupitor de os Stille Ruskin 270mm ( 007462 )</t>
  </si>
  <si>
    <t>Instrumente pentru chirurgia ortopedică și osteotomică. Ciupitor de os Stille Ruskin 270mm (+/- 5 mm)
*Reutilizabil, material inox medical.</t>
  </si>
  <si>
    <t>Instrumente pentru chirurgia ortopedică și osteotomică Clește ciupitor os Liston, angular, lungime 200 mm ( 007469 )</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</si>
  <si>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</si>
  <si>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Cuţit p/u amputaţie mare LANGENBERCH, 315mm ( 007474 )</t>
  </si>
  <si>
    <t>Instrumente pentru chirurgia ortopedică și osteotomică. Cuţit p/u amputaţie mare LANGENBERCH 315x180mm (+/-5mm).
*Reutilizabil, material inox medical.</t>
  </si>
  <si>
    <t>Instrumente pentru chirurgia ortopedică și osteotomică Set Extractor de șuruburi deteriorate ( 007486 )</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</si>
  <si>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</si>
  <si>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( 007845 )</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</si>
  <si>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</si>
  <si>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Foarfecă de oase Liston (200 mm) ( 007858 )</t>
  </si>
  <si>
    <t>Instrumente pentru chirurgia ortopedică și osteotomică. Foarfece Liston pentru disecția oaselor, drepte, lungime 200 mm  ±5mm. ( Cod referinta DDP-PM/168 sau analog).</t>
  </si>
  <si>
    <t>Instrumente pentru chirurgia ortopedică și osteotomică Foarfecă de oase Liston(220 mm) ( 007859 )</t>
  </si>
  <si>
    <t>Instrumente pentru chirurgia ortopedică și osteotomică. Foarfece Liston pentru disecția oaselor, drepte, lungime 220 mm  ±5mm. ( Copd referinta DDP-PM/169 sau analog).</t>
  </si>
  <si>
    <t>Instrumente pentru chirurgia ortopedică și osteotomică Instrument de extractie a tijelor protetice ( 007884 )</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</si>
  <si>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</si>
  <si>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înclinată, bont ( 007526 )</t>
  </si>
  <si>
    <t>Instrumente pentru chirurgia ortopedică și osteotomică. Osteotom 16mm lațime, înclinată, cu vârf bont
*Reutilizabil, material inox medical.</t>
  </si>
  <si>
    <t>Instrumente pentru chirurgia ortopedică și osteotomică Osteotom 16mm, dreaptă, ascuțit ( 007527 )</t>
  </si>
  <si>
    <t>Instrumente pentru chirurgia ortopedică și osteotomică.  Osteotom 16mm lațime, dreaptă, cu vârf ascuțit.
*Reutilizabil, material inox medical.</t>
  </si>
  <si>
    <t>Instrumente pentru chirurgia ortopedică și osteotomică Osteotom 16mm, dreaptă, bont ( 007528 )</t>
  </si>
  <si>
    <t>Instrumente pentru chirurgia ortopedică și osteotomică. Osteotom 16mm lațime, dreaptă, cu vârf bont.
*Reutilizabil, material inox medical.</t>
  </si>
  <si>
    <t>Instrumente pentru chirurgia ortopedică și osteotomică Osteotom 16mm, înclinată, ascuțit ( 007529 )</t>
  </si>
  <si>
    <t>Instrumente pentru chirurgia ortopedică și osteotomică. Osteotom 16mm lațime, înclinată, cu vârf ascuțit.
*Reutilizabil, material inox medical.</t>
  </si>
  <si>
    <t>Instrumente pentru chirurgia ortopedică și osteotomică Osteotom 30mm înclinată, bont ( 007530 )</t>
  </si>
  <si>
    <t>Instrumente pentru chirurgia ortopedică și osteotomică. Osteotom 30mm lațime, înclinată, cu vârf bont.
*Reutilizabil, material inox medical.</t>
  </si>
  <si>
    <t>Instrumente pentru chirurgia ortopedică și osteotomică Osteotom 30mm, dreaptă, ascuțit ( 007531 )</t>
  </si>
  <si>
    <t>Instrumente pentru chirurgia ortopedică și osteotomică Osteotom 30mm, dreaptă, bont ( 007532 )</t>
  </si>
  <si>
    <t>Instrumente pentru chirurgia ortopedică și osteotomică. Osteotom 30mm lațime, dreaptă, cu vârf bont.
*Reutilizabil, material inox medical.</t>
  </si>
  <si>
    <t>Instrumente pentru chirurgia ortopedică și osteotomică Osteotom 30mm, înclinată, ascuțit ( 007533 )</t>
  </si>
  <si>
    <t>Instrumente pentru chirurgia ortopedică și osteotomică. Osteotom 30mm lațime, înclinată, cu vârf ascuțit.
*Reutilizabil, material inox medical.</t>
  </si>
  <si>
    <t>Instrumente pentru chirurgia ortopedică și osteotomică Osteotom incovoiat tip Lexer ( 007891 )</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</si>
  <si>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</si>
  <si>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Retractor Farabeuf ( 007779 )</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</si>
  <si>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</si>
  <si>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( 007927 )</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</si>
  <si>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</si>
  <si>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( 007928 )</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</si>
  <si>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</si>
  <si>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( 007929 )</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</si>
  <si>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</si>
  <si>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( 007930 )</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</si>
  <si>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</si>
  <si>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( 007931 )</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</si>
  <si>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</si>
  <si>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tip Charnley (set de baza) ( 007932 )</t>
  </si>
  <si>
    <t>Instrumente pentru chirurgia ortopedică și osteotomică. Retractor tip Charnley (set de baza):
1. Cadru metalic 300-240 mm;
2. Lama mica: lungimea  60 mm (+/-5mm) , dinti 37-25 mm; 
3. Lama mare: lungimea 174 mm  (+/-10mm) , dinti 42-25 mm.</t>
  </si>
  <si>
    <t>Instrumente pentru chirurgie abdominală Pensă tip Billrot ( 007911 )</t>
  </si>
  <si>
    <t>Instrumente pentru chirurgie abdominală. Pensa tip Billrot 160mm  (+/-10mm) varf moale incovoiat.</t>
  </si>
  <si>
    <t>Instrumente pentru chirurgie generală Disector cu cremalieră ( 007481 )</t>
  </si>
  <si>
    <t>Instrumente pentru chirurgie generală. Disector cu cremaliera, lungime - 220mm (+/-10mm), branșele de lucru 50x0,5mm, fine,  miner drept.
*Reutilizabil, material inox medical.</t>
  </si>
  <si>
    <t>Instrumente pentru chirurgie generală Foarfecă (180mm) ( 007849 )</t>
  </si>
  <si>
    <t>Instrumente pentru chirurgie generală. Foarfece de disecție SHARP/PROBE, lungime 180 mm  ±10mm.  (Cod refrinta DDP-PM/144 sau analog).</t>
  </si>
  <si>
    <t>Instrumente pentru chirurgie generală Foarfecă (203mm) ( 007850 )</t>
  </si>
  <si>
    <t>Instrumente pentru chirurgie generală. Foarfece SHARP/SHARP, lungime 203 mm  ±10mm. ( Cod referinta DDP-PM/143 sau analog).</t>
  </si>
  <si>
    <t>Instrumente pentru chirurgie generală Foarfecă chirurgical METZENBAUM, 180 mm, curbate ( 007695 )</t>
  </si>
  <si>
    <t>Instrumente pentru chirurgie generală. Foarfeca Metzenbaum tip. Lungimea instrumentului 180mm (+/-10mm), cu branse curbate.(Echivalent codului de referinta BC287R Aesculap, DC21400-23 Delacroix).</t>
  </si>
  <si>
    <t>Instrumente pentru chirurgie generală Foarfecă chirurgical METZENBAUM, 230mm, curbate ( 007696 )</t>
  </si>
  <si>
    <t>Instrumente pentru chirurgie generală. Foarfeca Metzenbaum tip. Lungimea instrumentului 230mm (+/-10mm), cu branse curbate.(Echivalent codului de referinta BC287R Aesculap, DC21400-23 Delacroix).</t>
  </si>
  <si>
    <t>Instrumente pentru chirurgie generală Foarfecă chirurgical METZENBAUM, 250mm ( 007854 )</t>
  </si>
  <si>
    <t xml:space="preserve">Instrumente pentru chirurgie generală. Foarfece chirurgical tip "METZENBAUM" mare, curb 250mm (+/- 10 mm). </t>
  </si>
  <si>
    <t>Instrumente pentru chirurgie generală Foarfecă chirurgical METZENBAUM, 300mm ( 007494 )</t>
  </si>
  <si>
    <r>
      <t>Instrumente pentru chirurgie generală. Foarfece chirurgical tip ''METZENBAUM'' mare, curb 300mm (+/- 5 mm), 40mm.</t>
    </r>
    <r>
      <rPr>
        <b/>
        <sz val="8"/>
        <rFont val="Arial Narrow"/>
        <family val="2"/>
      </rPr>
      <t xml:space="preserve">
</t>
    </r>
  </si>
  <si>
    <t>Instrumente pentru chirurgie generală Foarfecă de disecție Baby-Metzenbaum, 145 mm ( 007501 )</t>
  </si>
  <si>
    <t>Instrumente pentru chirurgie generală. Foarfece de disecție tip Baby-Metzenbaum din aliaj de carbon cu wolfram, fin, vârf curbat bont/bont, lungimea 145 mm (+/-5 mm). 
Reutilizabil, material inox medical, nesteril.</t>
  </si>
  <si>
    <t>Instrumente pentru chirurgie generală Foarfecă de disecție Mayo, 140mm ( 007502 )</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</si>
  <si>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</si>
  <si>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Foarfecă de disecție Mayo, 170mm ( 007503 )</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</si>
  <si>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</si>
  <si>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Foarfecă de disecție METZENBAUM-FINO, 180 mm ( 007504 )</t>
  </si>
  <si>
    <t>Instrumente pentru chirurgie generală Foarfecă KILNER(REGNELL) 17-18 cm ( 007505 )</t>
  </si>
  <si>
    <t>Instrumente pentru chirurgie generală. Foarfece KILNER(REGNELL), lungimea 17-18 cm, vârful puțin curbat. 
*Reutilizabil, material inox medical.</t>
  </si>
  <si>
    <t>Instrumente pentru chirurgie generală Foarfecă Nelson-METZENBAUM 250mm ( 007511 )</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</si>
  <si>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</si>
  <si>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BABY-MIXTER, 180mm ( 007517 )</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</si>
  <si>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</si>
  <si>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( 007525 )</t>
  </si>
  <si>
    <t>Instrumente pentru chirurgie generală. Mâner bisturiu N4. Compatibila cu lama N 20,22,23. Lungimea manerului 135-140 mm. 
*Reutilizabil, material inox medical</t>
  </si>
  <si>
    <t>Instrumente pentru chirurgie generală Mâner bisturiu N3 ( 007711 )</t>
  </si>
  <si>
    <t>Instrumente pentru chirurgie generală. Mâner bisturiu N3 compatibilă cu lama 10,11,12,15. Lungimea manerului 125-130 mm.
*Reutilizabil, material inox medical</t>
  </si>
  <si>
    <t>Instrumente pentru chirurgie generală Pensă ALLIS ( 007534 )</t>
  </si>
  <si>
    <t>Instrumente pentru chirurgie generală. Pesa ALLIS 190mm (+/- 5 mm).
*Reutilizabil, material inox medical</t>
  </si>
  <si>
    <t>Instrumente pentru chirurgie generală Pensă ALLIS-BABY ( 007535 )</t>
  </si>
  <si>
    <t>Instrumente pentru chirurgie generală. Pesa ALISS-BABY 140 mm (+/- 5 mm).
*Reutilizabil, material inox medical</t>
  </si>
  <si>
    <t>Instrumente pentru chirurgie generală Pensă anatomica cu izolare ( 007536 )</t>
  </si>
  <si>
    <t>Instrumente pentru chirurgie generală. Penceta anatomica cu izolare. L - 250mm (+/- 10 mm), portiunea neizolata spre virf -10mm , latimea virfului- 2mm.
*Reutilizabil, material inox medical</t>
  </si>
  <si>
    <t>Instrumente pentru chirurgie generală Pensă atraumatic DE BAKEY, 200mm ( 007540 )</t>
  </si>
  <si>
    <t>Instrumente pentru chirurgie generală. Pencet atraumatic DE BAKEY,  lunjimea 200mm  (+/- 5 mm),  grosimea branșei de clemare 2,0mm. 
*Reutilizabil, material inox medical</t>
  </si>
  <si>
    <t>Instrumente pentru chirurgie generală Pensă STANDARD anatomica  250 ( 007539 )</t>
  </si>
  <si>
    <t>Instrumente pentru chirurgie generală Pensă STANDARD anatomic lungimea 250mm  (+/- 5 mm), parte de lucru 20-40mm, varf latime 2,0mm. 
*Reutilizabil, material inox medical</t>
  </si>
  <si>
    <t>Instrumente pentru chirurgie generală Retractor tip ADSON ( 007785 )</t>
  </si>
  <si>
    <t>Instrumente pentru chirurgie generală. Sonda butonat instrument utilizat pentru explorarea traiectului unei fistule sau a unei plagi traumatice.
Lungimea 14cm  (+/-10mm).</t>
  </si>
  <si>
    <t>Instrumente pentru disecție Cuţit Slicing ( 007829 )</t>
  </si>
  <si>
    <t>Instrumente pentru disecție. Cuțit forjat cu dimensiunea lamei de 22,0 mm pentru secțiunare în serie. (Cod referinta DDP-PM/118 sau analog).</t>
  </si>
  <si>
    <t>Instrumente pentru electrochirurgie Electrod tip L (Hook), 45 grade stânga ( 007484 )</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</si>
  <si>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</si>
  <si>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Electrodul cu bilă antiaderentă ( 007823 )</t>
  </si>
  <si>
    <t>Instrumente pentru electrochirurgie. GYN. Electrod cu bilă antiaderentă Tips diametru bilă 4.34mm, drum prelungit, conector 1.6mm, (cod referintă: Nr.TD10B/4. EM151.2C-1,6).</t>
  </si>
  <si>
    <t>Instrumente pentru electrochirurgie Lamă sterilă de utilizare unucă pentru forceps/pensă TERMOCUT ( 007885 )</t>
  </si>
  <si>
    <t>Instrumente pentru electrochirurgie. Lamă sterilă de utilizare unucă pentru forceps/pensă TERMOCUT, Lg 54,5 mm Lamidey Noury Medical.</t>
  </si>
  <si>
    <t>Instrumente pentru electrochirurgie Pensă bipolară de coagulare fenestrată ascuţită ( 007894 )</t>
  </si>
  <si>
    <t>Instrumente pentru electrochirurgie. Pensă bipolară de coagulare fenestrată ascuşită D=5 mm, L=330-350 mm.</t>
  </si>
  <si>
    <t>Instrumente pentru electrochirurgie Pensă bipolară de coagulare fenestrată Grasping ( 007895 )</t>
  </si>
  <si>
    <t>Instrumente pentru electrochirurgie. Pensă bipolară de coagulare fenestrată Grasping D=5 mm, L=330-350 mm.</t>
  </si>
  <si>
    <t>Instrumente pentru electrochirurgie Pensă tip Maryland de coagulare sectionare si disecție tehnologie Legasure ( 007582 )</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</si>
  <si>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</si>
  <si>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tip Fisch cu curbura dublu  (curbat in stinga) ( 007683 )</t>
  </si>
  <si>
    <t>Instrumente pentru microchirurgie Disector tip Fisch dissector,dublu curbat la stinga, lungimea totala 16,5 cm (±10mm), inox medical, reutilizabil.</t>
  </si>
  <si>
    <t>Instrumente pentru microchirurgie Disector tip Fisch cu curbura dublu (curbat in dreapta) ( 007684 )</t>
  </si>
  <si>
    <t>Instrumente pentru microchirurgie Disector tip Fisch dissector,dublu curbat la dreapta, lungimea totala 16,5 cm (±10mm), inox medical, reutilizabil.</t>
  </si>
  <si>
    <t>Instrumente pentru microchirurgie Disector tip Fisch cu curbura simpla(curbat in dreapta) ( 007685 )</t>
  </si>
  <si>
    <t>Instrumente pentru microchirurgie Disector tip Fisch, curbura simpla, la dreapta, lungimea totala 16.5 cm (±10mm), inox medical, reutilizabil.</t>
  </si>
  <si>
    <t>Instrumente pentru microchirurgie Dissector tip Fisch cu curbura simpla(curbat in stinga) ( 007686 )</t>
  </si>
  <si>
    <t>Instrumente pentru microchirurgie Dissector tip Fisch, curbura simpla, la stinga, lungimea totala 16.5 cm (±10mm), inox medical, reutilizabil.</t>
  </si>
  <si>
    <t>Instrument pentru chirurgie ORL. Cirlig auricular tip Zaufal cu vârful bont (olivă micuță), lung 150 mm-165mm. 
*Reutilizabil, material inox medical.</t>
  </si>
  <si>
    <t>Instrument pentru chirurgie ORL Cârlig auricular Zaufal cu vârf bont, lung 150 mm ( 007459 )</t>
  </si>
  <si>
    <t xml:space="preserve">Instrumente de sterilizare și de depozitare a instrumentelor chirurgicale. Cuvă reniformă metalică 27cm (±1cm). </t>
  </si>
  <si>
    <t>Instrumente de sterilizare și de depozitare a instrumentelor chirurgicale Cuvă reniformă metalică 27cm ( 007839 )</t>
  </si>
  <si>
    <t>Instrumente de sterilizare și de depozitare a instrumentelor chirurgicale Cuvă reniformă metalică 24cm ( 007838 )</t>
  </si>
  <si>
    <t>Instrumente de sterilizare și de depozitare a instrumentelor chirurgicale. Cuvă reniformă metalică 24cm (±1cm).</t>
  </si>
  <si>
    <t>Direcția medicală SIS</t>
  </si>
  <si>
    <t>Nr Lot procedura I</t>
  </si>
  <si>
    <t xml:space="preserve">Suma estimată cu TVA vechi </t>
  </si>
  <si>
    <t xml:space="preserve">Suma estimată fără TVA </t>
  </si>
  <si>
    <t>Instrumente pentru chirurgie generală Sonda butonata ( 007939)</t>
  </si>
  <si>
    <t>Instrumente pentru chirurgie generală. Foarfece de disecție METZENBAUM-FINO din aliaj de carbon cu wolfram, cu tehnologia lamelor wavecut, vârf curbat bont, acoperit cu un strat anti-reflecție, rezistență sporită împotriva coroziunii, lungimea 180 mm (+/-5 mm).
*Reutilizabil, material inox medical.</t>
  </si>
  <si>
    <t xml:space="preserve">Preț unitar  estimat fără TVA </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</si>
  <si>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</si>
  <si>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 xml:space="preserve">Suma estimată cu TVA </t>
  </si>
  <si>
    <t>Instrumente pentru chirurgie generală. Retractor tip ADSON, cu dinți 4x4, semi-ascuțit, cu lacăt, lungime 210 mm (+/-10mm), branșe semi-mobile cu articulații. 
Reutilizabil, material inox medical, nesteril, duritatea metalului în limitele 40-48 HRC confirmată prin certificat de la producător. (Cod referință: BV251R)</t>
  </si>
  <si>
    <t>Instrumente pentru chirurgia ortopedică și osteotomică. Osteotom 30mm lațime, dreaptă, cu vârf ascuțit.
*Reutilizabil, material inox medical.</t>
  </si>
  <si>
    <t xml:space="preserve">Nr Lot </t>
  </si>
  <si>
    <t xml:space="preserve"> Specificarea tehnică deplină solicitată de către autoritatea contractantă</t>
  </si>
  <si>
    <t>Denumirea bunurilor</t>
  </si>
  <si>
    <t xml:space="preserve">Cantitatea </t>
  </si>
  <si>
    <t>Instrumente laparoscopice. Foarfece Metzenbaun endoscopic D-5mm ;  L-400± 30mm, lungime de lucru 15-18mm, curbat, deschidere cu acțiune dublă, cu serații transversale, cu vîrfuri bonte, rotungite, miner cu sau fără cremaliera , dezasamblabil,pentru uz multiplu.
*Reutilizabil, material inox medical.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</si>
</sst>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2" x14ac:knownFonts="1">
    <font>
      <sz val="11"/>
      <color theme="1"/>
      <name val="Calibri"/>
      <family val="2"/>
      <scheme val="minor"/>
    </font>
    <font>
      <sz val="8"/>
      <name val="Arial"/>
      <family val="2"/>
    </font>
    <font>
      <b/>
      <sz val="8"/>
      <name val="Arial Narrow"/>
      <family val="2"/>
    </font>
    <font>
      <b/>
      <sz val="8"/>
      <color indexed="18"/>
      <name val="Arial Narrow"/>
      <family val="2"/>
    </font>
    <font>
      <sz val="11"/>
      <color theme="1"/>
      <name val="Calibri"/>
      <family val="2"/>
      <scheme val="minor"/>
    </font>
    <font>
      <sz val="10"/>
      <name val="Arial"/>
      <family val="2"/>
    </font>
    <font>
      <b/>
      <sz val="8"/>
      <name val="Arial"/>
      <family val="2"/>
    </font>
    <font>
      <b/>
      <sz val="8"/>
      <color indexed="18"/>
      <name val="Arial"/>
      <family val="2"/>
    </font>
    <font>
      <b/>
      <sz val="8"/>
      <color indexed="12"/>
      <name val="Arial"/>
      <family val="2"/>
    </font>
    <font>
      <sz val="8"/>
      <color theme="1"/>
      <name val="Arial"/>
      <family val="2"/>
    </font>
    <font>
      <b/>
      <sz val="8"/>
      <color theme="1"/>
      <name val="Arial"/>
      <family val="2"/>
    </font>
    <font>
      <b/>
      <u/>
      <sz val="8"/>
      <name val="Arial Narrow"/>
      <family val="2"/>
    </font>
  </fonts>
  <fills count="8">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
      <patternFill patternType="solid">
        <fgColor rgb="FFCCFFFF"/>
        <bgColor indexed="64"/>
      </patternFill>
    </fill>
    <fill>
      <patternFill patternType="solid">
        <fgColor rgb="FFFFFF00"/>
        <bgColor indexed="64"/>
      </patternFill>
    </fill>
    <fill>
      <patternFill patternType="solid">
        <fgColor rgb="FF92D050"/>
        <bgColor indexed="64"/>
      </patternFill>
    </fill>
  </fills>
  <borders count="6">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0"/>
      </left>
      <right/>
      <top style="thin">
        <color indexed="60"/>
      </top>
      <bottom style="thin">
        <color indexed="60"/>
      </bottom>
      <diagonal/>
    </border>
    <border>
      <left style="thin">
        <color indexed="22"/>
      </left>
      <right/>
      <top style="thin">
        <color indexed="22"/>
      </top>
      <bottom style="thin">
        <color indexed="22"/>
      </bottom>
      <diagonal/>
    </border>
  </borders>
  <cellStyleXfs count="4">
    <xf numFmtId="0" fontId="0" fillId="0" borderId="0"/>
    <xf numFmtId="0" fontId="1" fillId="0" borderId="0"/>
    <xf numFmtId="43" fontId="4" fillId="0" borderId="0" applyFont="0" applyFill="0" applyBorder="0" applyAlignment="0" applyProtection="0"/>
    <xf numFmtId="0" fontId="5" fillId="0" borderId="0"/>
  </cellStyleXfs>
  <cellXfs count="44">
    <xf numFmtId="0" fontId="0" fillId="0" borderId="0" xfId="0"/>
    <xf numFmtId="0" fontId="1" fillId="0" borderId="0" xfId="1"/>
    <xf numFmtId="0" fontId="2" fillId="0" borderId="0" xfId="1" applyFont="1" applyAlignment="1">
      <alignment vertical="top"/>
    </xf>
    <xf numFmtId="0" fontId="3" fillId="2" borderId="1" xfId="1" applyFont="1" applyFill="1" applyBorder="1" applyAlignment="1">
      <alignment horizontal="center" vertical="center" wrapText="1"/>
    </xf>
    <xf numFmtId="0" fontId="3" fillId="3" borderId="2" xfId="1" applyFont="1" applyFill="1" applyBorder="1" applyAlignment="1">
      <alignment vertical="top" wrapText="1"/>
    </xf>
    <xf numFmtId="0" fontId="2" fillId="0" borderId="2" xfId="1" applyFont="1" applyBorder="1" applyAlignment="1">
      <alignment vertical="top" wrapText="1" indent="2"/>
    </xf>
    <xf numFmtId="0" fontId="2" fillId="4" borderId="2" xfId="1" applyFont="1" applyFill="1" applyBorder="1" applyAlignment="1">
      <alignment vertical="top" wrapText="1" indent="2"/>
    </xf>
    <xf numFmtId="0" fontId="0" fillId="4" borderId="0" xfId="0" applyFill="1"/>
    <xf numFmtId="0" fontId="3" fillId="2" borderId="1" xfId="1" applyFont="1" applyFill="1" applyBorder="1" applyAlignment="1">
      <alignment vertical="top"/>
    </xf>
    <xf numFmtId="0" fontId="6" fillId="0" borderId="0" xfId="1" applyFont="1" applyAlignment="1">
      <alignment vertical="top"/>
    </xf>
    <xf numFmtId="0" fontId="7" fillId="2" borderId="1" xfId="1" applyFont="1" applyFill="1" applyBorder="1" applyAlignment="1">
      <alignment horizontal="center" vertical="center" wrapText="1"/>
    </xf>
    <xf numFmtId="0" fontId="7" fillId="2" borderId="1" xfId="1" applyFont="1" applyFill="1" applyBorder="1" applyAlignment="1">
      <alignment horizontal="center" vertical="center"/>
    </xf>
    <xf numFmtId="0" fontId="7" fillId="3" borderId="2" xfId="1" applyFont="1" applyFill="1" applyBorder="1" applyAlignment="1">
      <alignment vertical="top" wrapText="1"/>
    </xf>
    <xf numFmtId="2" fontId="8" fillId="3" borderId="2" xfId="1" applyNumberFormat="1" applyFont="1" applyFill="1" applyBorder="1" applyAlignment="1">
      <alignment horizontal="right" vertical="center" indent="1"/>
    </xf>
    <xf numFmtId="4" fontId="8" fillId="3" borderId="2" xfId="1" applyNumberFormat="1" applyFont="1" applyFill="1" applyBorder="1" applyAlignment="1">
      <alignment horizontal="right" vertical="center" indent="1"/>
    </xf>
    <xf numFmtId="0" fontId="6" fillId="0" borderId="2" xfId="1" applyFont="1" applyBorder="1" applyAlignment="1">
      <alignment vertical="top" wrapText="1" indent="2"/>
    </xf>
    <xf numFmtId="0" fontId="8" fillId="0" borderId="2" xfId="1" applyFont="1" applyBorder="1" applyAlignment="1">
      <alignment horizontal="right" vertical="center" indent="1"/>
    </xf>
    <xf numFmtId="2" fontId="8" fillId="0" borderId="2" xfId="1" applyNumberFormat="1" applyFont="1" applyBorder="1" applyAlignment="1">
      <alignment horizontal="right" vertical="center" indent="1"/>
    </xf>
    <xf numFmtId="0" fontId="8" fillId="4" borderId="2" xfId="1" applyFont="1" applyFill="1" applyBorder="1" applyAlignment="1">
      <alignment horizontal="right" vertical="center" indent="1"/>
    </xf>
    <xf numFmtId="2" fontId="8" fillId="4" borderId="2" xfId="1" applyNumberFormat="1" applyFont="1" applyFill="1" applyBorder="1" applyAlignment="1">
      <alignment horizontal="right" vertical="center" indent="1"/>
    </xf>
    <xf numFmtId="0" fontId="7" fillId="2" borderId="1" xfId="1" applyFont="1" applyFill="1" applyBorder="1" applyAlignment="1">
      <alignment vertical="top"/>
    </xf>
    <xf numFmtId="4" fontId="8" fillId="2" borderId="1" xfId="1" applyNumberFormat="1" applyFont="1" applyFill="1" applyBorder="1" applyAlignment="1">
      <alignment horizontal="right" vertical="center" indent="1"/>
    </xf>
    <xf numFmtId="4" fontId="7" fillId="2" borderId="1" xfId="1" applyNumberFormat="1" applyFont="1" applyFill="1" applyBorder="1" applyAlignment="1">
      <alignment horizontal="right" vertical="center" indent="1"/>
    </xf>
    <xf numFmtId="0" fontId="9" fillId="0" borderId="0" xfId="0" applyFont="1"/>
    <xf numFmtId="43" fontId="10" fillId="0" borderId="3" xfId="2" applyFont="1" applyBorder="1" applyAlignment="1">
      <alignment horizontal="center" vertical="center"/>
    </xf>
    <xf numFmtId="0" fontId="10" fillId="0" borderId="0" xfId="0" applyFont="1"/>
    <xf numFmtId="43" fontId="6" fillId="0" borderId="3" xfId="3" applyNumberFormat="1" applyFont="1" applyBorder="1" applyProtection="1">
      <protection locked="0"/>
    </xf>
    <xf numFmtId="0" fontId="7" fillId="2" borderId="4" xfId="1" applyFont="1" applyFill="1" applyBorder="1" applyAlignment="1">
      <alignment horizontal="center" vertical="center" wrapText="1" indent="1"/>
    </xf>
    <xf numFmtId="4" fontId="7" fillId="3" borderId="5" xfId="1" applyNumberFormat="1" applyFont="1" applyFill="1" applyBorder="1" applyAlignment="1">
      <alignment horizontal="right" vertical="center" indent="1"/>
    </xf>
    <xf numFmtId="4" fontId="6" fillId="0" borderId="5" xfId="1" applyNumberFormat="1" applyFont="1" applyBorder="1" applyAlignment="1">
      <alignment horizontal="right" vertical="center" indent="1"/>
    </xf>
    <xf numFmtId="2" fontId="6" fillId="0" borderId="5" xfId="1" applyNumberFormat="1" applyFont="1" applyBorder="1" applyAlignment="1">
      <alignment horizontal="right" vertical="center" indent="1"/>
    </xf>
    <xf numFmtId="4" fontId="6" fillId="4" borderId="5" xfId="1" applyNumberFormat="1" applyFont="1" applyFill="1" applyBorder="1" applyAlignment="1">
      <alignment horizontal="right" vertical="center" indent="1"/>
    </xf>
    <xf numFmtId="0" fontId="7" fillId="2" borderId="3" xfId="1" applyFont="1" applyFill="1" applyBorder="1" applyAlignment="1">
      <alignment horizontal="center" vertical="center" wrapText="1"/>
    </xf>
    <xf numFmtId="0" fontId="10" fillId="0" borderId="3" xfId="0" applyFont="1" applyBorder="1"/>
    <xf numFmtId="0" fontId="10" fillId="0" borderId="0" xfId="0" applyFont="1" applyAlignment="1">
      <alignment vertical="center"/>
    </xf>
    <xf numFmtId="0" fontId="10" fillId="0" borderId="3" xfId="0" applyFont="1" applyBorder="1" applyAlignment="1">
      <alignment vertical="center"/>
    </xf>
    <xf numFmtId="43" fontId="10" fillId="0" borderId="3" xfId="0" applyNumberFormat="1" applyFont="1" applyBorder="1" applyAlignment="1">
      <alignment vertical="center"/>
    </xf>
    <xf numFmtId="43" fontId="10" fillId="5" borderId="3" xfId="0" applyNumberFormat="1" applyFont="1" applyFill="1" applyBorder="1" applyAlignment="1">
      <alignment vertical="center"/>
    </xf>
    <xf numFmtId="0" fontId="2" fillId="6" borderId="2" xfId="1" applyFont="1" applyFill="1" applyBorder="1" applyAlignment="1">
      <alignment vertical="top" wrapText="1" indent="2"/>
    </xf>
    <xf numFmtId="0" fontId="11" fillId="6" borderId="2" xfId="1" applyFont="1" applyFill="1" applyBorder="1" applyAlignment="1">
      <alignment vertical="top" wrapText="1" indent="2"/>
    </xf>
    <xf numFmtId="0" fontId="7" fillId="7" borderId="3" xfId="1" applyFont="1" applyFill="1" applyBorder="1" applyAlignment="1">
      <alignment horizontal="center" vertical="center" wrapText="1"/>
    </xf>
    <xf numFmtId="0" fontId="10" fillId="7" borderId="0" xfId="0" applyFont="1" applyFill="1" applyAlignment="1">
      <alignment vertical="center"/>
    </xf>
    <xf numFmtId="0" fontId="10" fillId="7" borderId="3" xfId="0" applyFont="1" applyFill="1" applyBorder="1" applyAlignment="1">
      <alignment vertical="center"/>
    </xf>
    <xf numFmtId="43" fontId="10" fillId="7" borderId="3" xfId="0" applyNumberFormat="1" applyFont="1" applyFill="1" applyBorder="1" applyAlignment="1">
      <alignment vertical="center"/>
    </xf>
  </cellXfs>
  <cellStyles count="4">
    <cellStyle name="Comma" xfId="2" builtinId="3"/>
    <cellStyle name="Normal" xfId="0" builtinId="0"/>
    <cellStyle name="Normal 2" xfId="3" xr:uid="{29F499DE-624A-4891-A3DC-6AB0E064E30C}"/>
    <cellStyle name="Normal_Sheet1" xfId="1" xr:uid="{107D11B1-5DE9-404C-959B-8A139CBA57AB}"/>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E49E7-8819-41D3-95C7-001058B545E3}">
  <dimension ref="A1:BE144"/>
  <sheetViews>
    <sheetView tabSelected="1" zoomScale="85" zoomScaleNormal="85" workbookViewId="0">
      <selection activeCell="Y24" sqref="Y22:Y24"/>
    </sheetView>
  </sheetViews>
  <sheetFormatPr defaultRowHeight="24.75" customHeight="1" x14ac:dyDescent="0.25"/>
  <cols>
    <col min="1" max="1" width="8.28515625" customWidth="1"/>
    <col min="2" max="2" width="10.5703125" hidden="1" customWidth="1"/>
    <col min="3" max="3" width="19.7109375" customWidth="1"/>
    <col min="4" max="4" width="33" customWidth="1"/>
    <col min="5" max="5" width="10.42578125" style="23" customWidth="1"/>
    <col min="6" max="52" width="9.140625" style="23" customWidth="1"/>
    <col min="53" max="53" width="13.140625" style="23" customWidth="1"/>
    <col min="54" max="54" width="16.140625" style="23" hidden="1" customWidth="1"/>
    <col min="55" max="55" width="17.5703125" style="25" hidden="1" customWidth="1"/>
    <col min="56" max="56" width="16.28515625" style="41" customWidth="1"/>
    <col min="57" max="57" width="22.7109375" style="34" hidden="1" customWidth="1"/>
  </cols>
  <sheetData>
    <row r="1" spans="1:57" ht="24.7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row>
    <row r="2" spans="1:57" ht="24.75" customHeight="1" x14ac:dyDescent="0.25">
      <c r="A2" s="2"/>
      <c r="B2" s="2"/>
      <c r="C2" s="2"/>
      <c r="D2" s="2"/>
      <c r="E2" s="9"/>
      <c r="F2" s="9" t="s">
        <v>0</v>
      </c>
      <c r="G2" s="9"/>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row>
    <row r="3" spans="1:57" ht="24.75" customHeight="1"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row>
    <row r="4" spans="1:57" ht="24.75" customHeight="1" x14ac:dyDescent="0.25">
      <c r="A4" s="3" t="s">
        <v>330</v>
      </c>
      <c r="B4" s="3" t="s">
        <v>320</v>
      </c>
      <c r="C4" s="3" t="s">
        <v>332</v>
      </c>
      <c r="D4" s="3" t="s">
        <v>331</v>
      </c>
      <c r="E4" s="10" t="s">
        <v>1</v>
      </c>
      <c r="F4" s="10" t="s">
        <v>2</v>
      </c>
      <c r="G4" s="10" t="s">
        <v>319</v>
      </c>
      <c r="H4" s="10" t="s">
        <v>3</v>
      </c>
      <c r="I4" s="10" t="s">
        <v>4</v>
      </c>
      <c r="J4" s="10" t="s">
        <v>5</v>
      </c>
      <c r="K4" s="10" t="s">
        <v>6</v>
      </c>
      <c r="L4" s="10" t="s">
        <v>7</v>
      </c>
      <c r="M4" s="10" t="s">
        <v>8</v>
      </c>
      <c r="N4" s="10" t="s">
        <v>9</v>
      </c>
      <c r="O4" s="10" t="s">
        <v>10</v>
      </c>
      <c r="P4" s="10" t="s">
        <v>11</v>
      </c>
      <c r="Q4" s="10" t="s">
        <v>12</v>
      </c>
      <c r="R4" s="10" t="s">
        <v>13</v>
      </c>
      <c r="S4" s="10" t="s">
        <v>14</v>
      </c>
      <c r="T4" s="10" t="s">
        <v>15</v>
      </c>
      <c r="U4" s="10" t="s">
        <v>16</v>
      </c>
      <c r="V4" s="10" t="s">
        <v>17</v>
      </c>
      <c r="W4" s="10" t="s">
        <v>18</v>
      </c>
      <c r="X4" s="10" t="s">
        <v>19</v>
      </c>
      <c r="Y4" s="10" t="s">
        <v>20</v>
      </c>
      <c r="Z4" s="10" t="s">
        <v>21</v>
      </c>
      <c r="AA4" s="10" t="s">
        <v>22</v>
      </c>
      <c r="AB4" s="10" t="s">
        <v>23</v>
      </c>
      <c r="AC4" s="10" t="s">
        <v>24</v>
      </c>
      <c r="AD4" s="10" t="s">
        <v>25</v>
      </c>
      <c r="AE4" s="10" t="s">
        <v>26</v>
      </c>
      <c r="AF4" s="10" t="s">
        <v>27</v>
      </c>
      <c r="AG4" s="10" t="s">
        <v>28</v>
      </c>
      <c r="AH4" s="10" t="s">
        <v>29</v>
      </c>
      <c r="AI4" s="10" t="s">
        <v>30</v>
      </c>
      <c r="AJ4" s="10" t="s">
        <v>31</v>
      </c>
      <c r="AK4" s="10" t="s">
        <v>32</v>
      </c>
      <c r="AL4" s="10" t="s">
        <v>33</v>
      </c>
      <c r="AM4" s="10" t="s">
        <v>34</v>
      </c>
      <c r="AN4" s="10" t="s">
        <v>35</v>
      </c>
      <c r="AO4" s="10" t="s">
        <v>36</v>
      </c>
      <c r="AP4" s="10" t="s">
        <v>37</v>
      </c>
      <c r="AQ4" s="10" t="s">
        <v>38</v>
      </c>
      <c r="AR4" s="10" t="s">
        <v>39</v>
      </c>
      <c r="AS4" s="10" t="s">
        <v>40</v>
      </c>
      <c r="AT4" s="10" t="s">
        <v>41</v>
      </c>
      <c r="AU4" s="10" t="s">
        <v>42</v>
      </c>
      <c r="AV4" s="10" t="s">
        <v>43</v>
      </c>
      <c r="AW4" s="10" t="s">
        <v>44</v>
      </c>
      <c r="AX4" s="10" t="s">
        <v>45</v>
      </c>
      <c r="AY4" s="10" t="s">
        <v>46</v>
      </c>
      <c r="AZ4" s="10" t="s">
        <v>47</v>
      </c>
      <c r="BA4" s="11" t="s">
        <v>333</v>
      </c>
      <c r="BB4" s="27" t="s">
        <v>321</v>
      </c>
      <c r="BC4" s="32" t="s">
        <v>325</v>
      </c>
      <c r="BD4" s="40" t="s">
        <v>322</v>
      </c>
      <c r="BE4" s="32" t="s">
        <v>327</v>
      </c>
    </row>
    <row r="5" spans="1:57" ht="24.75" hidden="1" customHeight="1" x14ac:dyDescent="0.25">
      <c r="A5" s="4"/>
      <c r="B5" s="4"/>
      <c r="C5" s="4"/>
      <c r="D5" s="4"/>
      <c r="E5" s="12"/>
      <c r="F5" s="13">
        <f t="shared" ref="F5:AJ5" si="0">SUM(F6:F143)</f>
        <v>68</v>
      </c>
      <c r="G5" s="13">
        <f t="shared" si="0"/>
        <v>35</v>
      </c>
      <c r="H5" s="13">
        <f t="shared" si="0"/>
        <v>258</v>
      </c>
      <c r="I5" s="13">
        <f t="shared" si="0"/>
        <v>105</v>
      </c>
      <c r="J5" s="13">
        <f t="shared" si="0"/>
        <v>50</v>
      </c>
      <c r="K5" s="13">
        <f t="shared" si="0"/>
        <v>42</v>
      </c>
      <c r="L5" s="13">
        <f t="shared" si="0"/>
        <v>102</v>
      </c>
      <c r="M5" s="13">
        <f t="shared" si="0"/>
        <v>1</v>
      </c>
      <c r="N5" s="13">
        <f t="shared" si="0"/>
        <v>1</v>
      </c>
      <c r="O5" s="13">
        <f t="shared" si="0"/>
        <v>2</v>
      </c>
      <c r="P5" s="13">
        <f t="shared" si="0"/>
        <v>2</v>
      </c>
      <c r="Q5" s="13">
        <f t="shared" si="0"/>
        <v>4</v>
      </c>
      <c r="R5" s="13">
        <f t="shared" si="0"/>
        <v>397</v>
      </c>
      <c r="S5" s="13">
        <f t="shared" si="0"/>
        <v>113</v>
      </c>
      <c r="T5" s="13">
        <f t="shared" si="0"/>
        <v>1809</v>
      </c>
      <c r="U5" s="13">
        <f t="shared" si="0"/>
        <v>5</v>
      </c>
      <c r="V5" s="13">
        <f t="shared" si="0"/>
        <v>5</v>
      </c>
      <c r="W5" s="13">
        <f t="shared" si="0"/>
        <v>757</v>
      </c>
      <c r="X5" s="13">
        <f t="shared" si="0"/>
        <v>62</v>
      </c>
      <c r="Y5" s="13">
        <f t="shared" si="0"/>
        <v>257</v>
      </c>
      <c r="Z5" s="13">
        <f t="shared" si="0"/>
        <v>35</v>
      </c>
      <c r="AA5" s="13">
        <f t="shared" si="0"/>
        <v>133</v>
      </c>
      <c r="AB5" s="13">
        <f t="shared" si="0"/>
        <v>1782</v>
      </c>
      <c r="AC5" s="13">
        <f t="shared" si="0"/>
        <v>105</v>
      </c>
      <c r="AD5" s="13">
        <f t="shared" si="0"/>
        <v>13</v>
      </c>
      <c r="AE5" s="13">
        <f t="shared" si="0"/>
        <v>166</v>
      </c>
      <c r="AF5" s="13">
        <f t="shared" si="0"/>
        <v>56</v>
      </c>
      <c r="AG5" s="13">
        <f t="shared" si="0"/>
        <v>44</v>
      </c>
      <c r="AH5" s="13">
        <f t="shared" si="0"/>
        <v>95</v>
      </c>
      <c r="AI5" s="13">
        <f t="shared" si="0"/>
        <v>66</v>
      </c>
      <c r="AJ5" s="13">
        <f t="shared" si="0"/>
        <v>26</v>
      </c>
      <c r="AK5" s="13">
        <f t="shared" ref="AK5:BA5" si="1">SUM(AK6:AK143)</f>
        <v>205</v>
      </c>
      <c r="AL5" s="13">
        <f t="shared" si="1"/>
        <v>21</v>
      </c>
      <c r="AM5" s="13">
        <f t="shared" si="1"/>
        <v>6</v>
      </c>
      <c r="AN5" s="13">
        <f t="shared" si="1"/>
        <v>146</v>
      </c>
      <c r="AO5" s="13">
        <f t="shared" si="1"/>
        <v>8</v>
      </c>
      <c r="AP5" s="13">
        <f t="shared" si="1"/>
        <v>10</v>
      </c>
      <c r="AQ5" s="13">
        <f t="shared" si="1"/>
        <v>23</v>
      </c>
      <c r="AR5" s="13">
        <f t="shared" si="1"/>
        <v>28</v>
      </c>
      <c r="AS5" s="13">
        <f t="shared" si="1"/>
        <v>10</v>
      </c>
      <c r="AT5" s="13">
        <f t="shared" si="1"/>
        <v>36</v>
      </c>
      <c r="AU5" s="13">
        <f t="shared" si="1"/>
        <v>50</v>
      </c>
      <c r="AV5" s="13">
        <f t="shared" si="1"/>
        <v>63</v>
      </c>
      <c r="AW5" s="13">
        <f t="shared" si="1"/>
        <v>201</v>
      </c>
      <c r="AX5" s="13">
        <f t="shared" si="1"/>
        <v>10</v>
      </c>
      <c r="AY5" s="13">
        <f t="shared" si="1"/>
        <v>30</v>
      </c>
      <c r="AZ5" s="13">
        <f t="shared" si="1"/>
        <v>10</v>
      </c>
      <c r="BA5" s="14">
        <f t="shared" si="1"/>
        <v>7453</v>
      </c>
      <c r="BB5" s="28">
        <v>10349641.470000001</v>
      </c>
      <c r="BC5" s="33"/>
      <c r="BD5" s="42"/>
      <c r="BE5" s="35"/>
    </row>
    <row r="6" spans="1:57" ht="24.75" customHeight="1" x14ac:dyDescent="0.25">
      <c r="A6" s="5">
        <v>1</v>
      </c>
      <c r="B6" s="38">
        <v>2</v>
      </c>
      <c r="C6" s="5" t="s">
        <v>49</v>
      </c>
      <c r="D6" s="5" t="s">
        <v>50</v>
      </c>
      <c r="E6" s="15" t="s">
        <v>48</v>
      </c>
      <c r="F6" s="16"/>
      <c r="G6" s="16"/>
      <c r="H6" s="16"/>
      <c r="I6" s="16"/>
      <c r="J6" s="16"/>
      <c r="K6" s="16"/>
      <c r="L6" s="16"/>
      <c r="M6" s="16"/>
      <c r="N6" s="16"/>
      <c r="O6" s="16"/>
      <c r="P6" s="16"/>
      <c r="Q6" s="16"/>
      <c r="R6" s="16"/>
      <c r="S6" s="17">
        <v>1</v>
      </c>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7">
        <f t="shared" ref="BA6:BA37" si="2">SUM(F6:AZ6)</f>
        <v>1</v>
      </c>
      <c r="BB6" s="29">
        <f>7500*BA6</f>
        <v>7500</v>
      </c>
      <c r="BC6" s="24">
        <v>6250</v>
      </c>
      <c r="BD6" s="43">
        <f>BC6*BA6</f>
        <v>6250</v>
      </c>
      <c r="BE6" s="36">
        <f>BD6*1.08</f>
        <v>6750</v>
      </c>
    </row>
    <row r="7" spans="1:57" ht="24.75" customHeight="1" x14ac:dyDescent="0.25">
      <c r="A7" s="5">
        <v>2</v>
      </c>
      <c r="B7" s="38">
        <v>3</v>
      </c>
      <c r="C7" s="5" t="s">
        <v>51</v>
      </c>
      <c r="D7" s="5" t="s">
        <v>52</v>
      </c>
      <c r="E7" s="15" t="s">
        <v>48</v>
      </c>
      <c r="F7" s="16"/>
      <c r="G7" s="16"/>
      <c r="H7" s="16"/>
      <c r="I7" s="16"/>
      <c r="J7" s="16"/>
      <c r="K7" s="16"/>
      <c r="L7" s="16"/>
      <c r="M7" s="16"/>
      <c r="N7" s="16"/>
      <c r="O7" s="16"/>
      <c r="P7" s="16"/>
      <c r="Q7" s="16"/>
      <c r="R7" s="16"/>
      <c r="S7" s="17">
        <v>1</v>
      </c>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7">
        <v>2</v>
      </c>
      <c r="AW7" s="16"/>
      <c r="AX7" s="16"/>
      <c r="AY7" s="16"/>
      <c r="AZ7" s="16"/>
      <c r="BA7" s="17">
        <f t="shared" si="2"/>
        <v>3</v>
      </c>
      <c r="BB7" s="29">
        <f>4854.96*BA7</f>
        <v>14564.880000000001</v>
      </c>
      <c r="BC7" s="24">
        <v>4045.8</v>
      </c>
      <c r="BD7" s="43">
        <f>ROUND(BC7*BA7,2)</f>
        <v>12137.4</v>
      </c>
      <c r="BE7" s="36">
        <f t="shared" ref="BE7:BE70" si="3">BD7*1.08</f>
        <v>13108.392</v>
      </c>
    </row>
    <row r="8" spans="1:57" ht="24.75" customHeight="1" x14ac:dyDescent="0.25">
      <c r="A8" s="5">
        <v>3</v>
      </c>
      <c r="B8" s="38">
        <v>6</v>
      </c>
      <c r="C8" s="5" t="s">
        <v>53</v>
      </c>
      <c r="D8" s="5" t="s">
        <v>54</v>
      </c>
      <c r="E8" s="15" t="s">
        <v>48</v>
      </c>
      <c r="F8" s="16"/>
      <c r="G8" s="16"/>
      <c r="H8" s="16"/>
      <c r="I8" s="16"/>
      <c r="J8" s="16"/>
      <c r="K8" s="16"/>
      <c r="L8" s="16"/>
      <c r="M8" s="16"/>
      <c r="N8" s="16"/>
      <c r="O8" s="16"/>
      <c r="P8" s="16"/>
      <c r="Q8" s="16"/>
      <c r="R8" s="17">
        <v>50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7">
        <v>6</v>
      </c>
      <c r="AX8" s="16"/>
      <c r="AY8" s="16"/>
      <c r="AZ8" s="16"/>
      <c r="BA8" s="17">
        <f t="shared" si="2"/>
        <v>56</v>
      </c>
      <c r="BB8" s="29">
        <f>BA8*200.003928571429</f>
        <v>11200.220000000023</v>
      </c>
      <c r="BC8" s="24">
        <v>166.67000000000002</v>
      </c>
      <c r="BD8" s="43">
        <f t="shared" ref="BD8:BD71" si="4">ROUND(BC8*BA8,2)</f>
        <v>9333.52</v>
      </c>
      <c r="BE8" s="36">
        <f t="shared" si="3"/>
        <v>10080.2016</v>
      </c>
    </row>
    <row r="9" spans="1:57" ht="24.75" customHeight="1" x14ac:dyDescent="0.25">
      <c r="A9" s="5">
        <v>4</v>
      </c>
      <c r="B9" s="38">
        <v>7</v>
      </c>
      <c r="C9" s="5" t="s">
        <v>55</v>
      </c>
      <c r="D9" s="5" t="s">
        <v>56</v>
      </c>
      <c r="E9" s="15" t="s">
        <v>48</v>
      </c>
      <c r="F9" s="16"/>
      <c r="G9" s="16"/>
      <c r="H9" s="16"/>
      <c r="I9" s="16"/>
      <c r="J9" s="16"/>
      <c r="K9" s="16"/>
      <c r="L9" s="16"/>
      <c r="M9" s="16"/>
      <c r="N9" s="16"/>
      <c r="O9" s="16"/>
      <c r="P9" s="16"/>
      <c r="Q9" s="16"/>
      <c r="R9" s="16"/>
      <c r="S9" s="16"/>
      <c r="T9" s="16"/>
      <c r="U9" s="16"/>
      <c r="V9" s="16"/>
      <c r="W9" s="16"/>
      <c r="X9" s="16"/>
      <c r="Y9" s="16"/>
      <c r="Z9" s="16"/>
      <c r="AA9" s="16"/>
      <c r="AB9" s="17">
        <v>2</v>
      </c>
      <c r="AC9" s="16"/>
      <c r="AD9" s="16"/>
      <c r="AE9" s="16"/>
      <c r="AF9" s="16"/>
      <c r="AG9" s="16"/>
      <c r="AH9" s="16"/>
      <c r="AI9" s="16"/>
      <c r="AJ9" s="16"/>
      <c r="AK9" s="16"/>
      <c r="AL9" s="16"/>
      <c r="AM9" s="16"/>
      <c r="AN9" s="16"/>
      <c r="AO9" s="16"/>
      <c r="AP9" s="16"/>
      <c r="AQ9" s="16"/>
      <c r="AR9" s="16"/>
      <c r="AS9" s="16"/>
      <c r="AT9" s="16"/>
      <c r="AU9" s="16"/>
      <c r="AV9" s="16"/>
      <c r="AW9" s="16"/>
      <c r="AX9" s="16"/>
      <c r="AY9" s="17">
        <v>1</v>
      </c>
      <c r="AZ9" s="17"/>
      <c r="BA9" s="17">
        <f t="shared" si="2"/>
        <v>3</v>
      </c>
      <c r="BB9" s="29">
        <f>BA9*4500</f>
        <v>13500</v>
      </c>
      <c r="BC9" s="24">
        <v>3750</v>
      </c>
      <c r="BD9" s="43">
        <f t="shared" si="4"/>
        <v>11250</v>
      </c>
      <c r="BE9" s="36">
        <f t="shared" si="3"/>
        <v>12150</v>
      </c>
    </row>
    <row r="10" spans="1:57" ht="24.75" customHeight="1" x14ac:dyDescent="0.25">
      <c r="A10" s="5">
        <v>5</v>
      </c>
      <c r="B10" s="38">
        <v>22</v>
      </c>
      <c r="C10" s="5" t="s">
        <v>57</v>
      </c>
      <c r="D10" s="5" t="s">
        <v>58</v>
      </c>
      <c r="E10" s="15" t="s">
        <v>48</v>
      </c>
      <c r="F10" s="16"/>
      <c r="G10" s="16"/>
      <c r="H10" s="16"/>
      <c r="I10" s="16"/>
      <c r="J10" s="16"/>
      <c r="K10" s="16"/>
      <c r="L10" s="16"/>
      <c r="M10" s="16"/>
      <c r="N10" s="16"/>
      <c r="O10" s="16"/>
      <c r="P10" s="16"/>
      <c r="Q10" s="16"/>
      <c r="R10" s="16"/>
      <c r="S10" s="16"/>
      <c r="T10" s="16"/>
      <c r="U10" s="16"/>
      <c r="V10" s="16"/>
      <c r="W10" s="16"/>
      <c r="X10" s="16"/>
      <c r="Y10" s="16"/>
      <c r="Z10" s="16"/>
      <c r="AA10" s="16"/>
      <c r="AB10" s="17">
        <v>2</v>
      </c>
      <c r="AC10" s="16"/>
      <c r="AD10" s="16"/>
      <c r="AE10" s="16"/>
      <c r="AF10" s="16"/>
      <c r="AG10" s="16"/>
      <c r="AH10" s="16"/>
      <c r="AI10" s="16"/>
      <c r="AJ10" s="16"/>
      <c r="AK10" s="16"/>
      <c r="AL10" s="16"/>
      <c r="AM10" s="16"/>
      <c r="AN10" s="16"/>
      <c r="AO10" s="16"/>
      <c r="AP10" s="16"/>
      <c r="AQ10" s="16"/>
      <c r="AR10" s="16"/>
      <c r="AS10" s="16"/>
      <c r="AT10" s="16"/>
      <c r="AU10" s="16"/>
      <c r="AV10" s="16"/>
      <c r="AW10" s="16"/>
      <c r="AX10" s="16"/>
      <c r="AY10" s="16"/>
      <c r="AZ10" s="16"/>
      <c r="BA10" s="17">
        <f t="shared" si="2"/>
        <v>2</v>
      </c>
      <c r="BB10" s="29">
        <f>BA10*4500</f>
        <v>9000</v>
      </c>
      <c r="BC10" s="24">
        <v>3750</v>
      </c>
      <c r="BD10" s="43">
        <f t="shared" si="4"/>
        <v>7500</v>
      </c>
      <c r="BE10" s="36">
        <f t="shared" si="3"/>
        <v>8100.0000000000009</v>
      </c>
    </row>
    <row r="11" spans="1:57" ht="24.75" customHeight="1" x14ac:dyDescent="0.25">
      <c r="A11" s="5">
        <v>6</v>
      </c>
      <c r="B11" s="38">
        <v>26</v>
      </c>
      <c r="C11" s="5" t="s">
        <v>59</v>
      </c>
      <c r="D11" s="5" t="s">
        <v>60</v>
      </c>
      <c r="E11" s="15" t="s">
        <v>48</v>
      </c>
      <c r="F11" s="16"/>
      <c r="G11" s="16"/>
      <c r="H11" s="16"/>
      <c r="I11" s="16"/>
      <c r="J11" s="16"/>
      <c r="K11" s="16"/>
      <c r="L11" s="16"/>
      <c r="M11" s="16"/>
      <c r="N11" s="16"/>
      <c r="O11" s="16"/>
      <c r="P11" s="16"/>
      <c r="Q11" s="16"/>
      <c r="R11" s="17">
        <v>2</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7">
        <v>1</v>
      </c>
      <c r="AX11" s="16"/>
      <c r="AY11" s="16"/>
      <c r="AZ11" s="16"/>
      <c r="BA11" s="17">
        <f t="shared" si="2"/>
        <v>3</v>
      </c>
      <c r="BB11" s="29">
        <f>BA11*3000</f>
        <v>9000</v>
      </c>
      <c r="BC11" s="24">
        <v>2500</v>
      </c>
      <c r="BD11" s="43">
        <f t="shared" si="4"/>
        <v>7500</v>
      </c>
      <c r="BE11" s="36">
        <f t="shared" si="3"/>
        <v>8100.0000000000009</v>
      </c>
    </row>
    <row r="12" spans="1:57" ht="24.75" customHeight="1" x14ac:dyDescent="0.25">
      <c r="A12" s="5">
        <v>7</v>
      </c>
      <c r="B12" s="38">
        <v>27</v>
      </c>
      <c r="C12" s="5" t="s">
        <v>61</v>
      </c>
      <c r="D12" s="5" t="s">
        <v>62</v>
      </c>
      <c r="E12" s="15" t="s">
        <v>48</v>
      </c>
      <c r="F12" s="16"/>
      <c r="G12" s="16"/>
      <c r="H12" s="16"/>
      <c r="I12" s="16"/>
      <c r="J12" s="16"/>
      <c r="K12" s="16"/>
      <c r="L12" s="16"/>
      <c r="M12" s="16"/>
      <c r="N12" s="16"/>
      <c r="O12" s="16"/>
      <c r="P12" s="16"/>
      <c r="Q12" s="16"/>
      <c r="R12" s="16"/>
      <c r="S12" s="16"/>
      <c r="T12" s="17">
        <v>4</v>
      </c>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16"/>
      <c r="BA12" s="17">
        <f t="shared" si="2"/>
        <v>4</v>
      </c>
      <c r="BB12" s="30">
        <f>BA12*130.0075</f>
        <v>520.03</v>
      </c>
      <c r="BC12" s="24">
        <v>108.34</v>
      </c>
      <c r="BD12" s="43">
        <f t="shared" si="4"/>
        <v>433.36</v>
      </c>
      <c r="BE12" s="36">
        <f t="shared" si="3"/>
        <v>468.02880000000005</v>
      </c>
    </row>
    <row r="13" spans="1:57" ht="24.75" customHeight="1" x14ac:dyDescent="0.25">
      <c r="A13" s="5">
        <v>8</v>
      </c>
      <c r="B13" s="38">
        <v>28</v>
      </c>
      <c r="C13" s="5" t="s">
        <v>314</v>
      </c>
      <c r="D13" s="5" t="s">
        <v>313</v>
      </c>
      <c r="E13" s="15" t="s">
        <v>48</v>
      </c>
      <c r="F13" s="16"/>
      <c r="G13" s="16"/>
      <c r="H13" s="16"/>
      <c r="I13" s="17">
        <v>2</v>
      </c>
      <c r="J13" s="16"/>
      <c r="K13" s="16"/>
      <c r="L13" s="17">
        <v>4</v>
      </c>
      <c r="M13" s="16"/>
      <c r="N13" s="16"/>
      <c r="O13" s="16"/>
      <c r="P13" s="16"/>
      <c r="Q13" s="16"/>
      <c r="R13" s="16"/>
      <c r="S13" s="16"/>
      <c r="T13" s="16"/>
      <c r="U13" s="17">
        <v>5</v>
      </c>
      <c r="V13" s="16"/>
      <c r="W13" s="17">
        <v>1</v>
      </c>
      <c r="X13" s="17">
        <v>2</v>
      </c>
      <c r="Y13" s="16"/>
      <c r="Z13" s="16"/>
      <c r="AA13" s="16"/>
      <c r="AB13" s="16"/>
      <c r="AC13" s="17">
        <v>2</v>
      </c>
      <c r="AD13" s="16"/>
      <c r="AE13" s="17">
        <v>4</v>
      </c>
      <c r="AF13" s="16"/>
      <c r="AG13" s="16"/>
      <c r="AH13" s="16"/>
      <c r="AI13" s="17">
        <v>3</v>
      </c>
      <c r="AJ13" s="16"/>
      <c r="AK13" s="16"/>
      <c r="AL13" s="16"/>
      <c r="AM13" s="16"/>
      <c r="AN13" s="16"/>
      <c r="AO13" s="16"/>
      <c r="AP13" s="16"/>
      <c r="AQ13" s="16"/>
      <c r="AR13" s="16"/>
      <c r="AS13" s="16"/>
      <c r="AT13" s="16"/>
      <c r="AU13" s="16"/>
      <c r="AV13" s="16"/>
      <c r="AW13" s="16"/>
      <c r="AX13" s="16"/>
      <c r="AY13" s="16"/>
      <c r="AZ13" s="16"/>
      <c r="BA13" s="17">
        <f t="shared" si="2"/>
        <v>23</v>
      </c>
      <c r="BB13" s="29">
        <f>BA13*475.356086956522</f>
        <v>10933.190000000006</v>
      </c>
      <c r="BC13" s="24">
        <v>396.13</v>
      </c>
      <c r="BD13" s="43">
        <f t="shared" si="4"/>
        <v>9110.99</v>
      </c>
      <c r="BE13" s="36">
        <f t="shared" si="3"/>
        <v>9839.869200000001</v>
      </c>
    </row>
    <row r="14" spans="1:57" ht="24.75" customHeight="1" x14ac:dyDescent="0.25">
      <c r="A14" s="5">
        <v>9</v>
      </c>
      <c r="B14" s="38">
        <v>31</v>
      </c>
      <c r="C14" s="5" t="s">
        <v>63</v>
      </c>
      <c r="D14" s="5" t="s">
        <v>64</v>
      </c>
      <c r="E14" s="15" t="s">
        <v>48</v>
      </c>
      <c r="F14" s="16"/>
      <c r="G14" s="16"/>
      <c r="H14" s="16"/>
      <c r="I14" s="16"/>
      <c r="J14" s="16"/>
      <c r="K14" s="16"/>
      <c r="L14" s="16"/>
      <c r="M14" s="16"/>
      <c r="N14" s="16"/>
      <c r="O14" s="16"/>
      <c r="P14" s="16"/>
      <c r="Q14" s="16"/>
      <c r="R14" s="16"/>
      <c r="S14" s="16"/>
      <c r="T14" s="16"/>
      <c r="U14" s="16"/>
      <c r="V14" s="16"/>
      <c r="W14" s="17">
        <v>2</v>
      </c>
      <c r="X14" s="16"/>
      <c r="Y14" s="16"/>
      <c r="Z14" s="16"/>
      <c r="AA14" s="16"/>
      <c r="AB14" s="16"/>
      <c r="AC14" s="17">
        <v>3</v>
      </c>
      <c r="AD14" s="16"/>
      <c r="AE14" s="16"/>
      <c r="AF14" s="16"/>
      <c r="AG14" s="16"/>
      <c r="AH14" s="16"/>
      <c r="AI14" s="16"/>
      <c r="AJ14" s="16"/>
      <c r="AK14" s="16"/>
      <c r="AL14" s="17">
        <v>2</v>
      </c>
      <c r="AM14" s="16"/>
      <c r="AN14" s="16"/>
      <c r="AO14" s="16"/>
      <c r="AP14" s="16"/>
      <c r="AQ14" s="16"/>
      <c r="AR14" s="16"/>
      <c r="AS14" s="16"/>
      <c r="AT14" s="16"/>
      <c r="AU14" s="16"/>
      <c r="AV14" s="16"/>
      <c r="AW14" s="17">
        <v>2</v>
      </c>
      <c r="AX14" s="16"/>
      <c r="AY14" s="16"/>
      <c r="AZ14" s="16"/>
      <c r="BA14" s="17">
        <f t="shared" si="2"/>
        <v>9</v>
      </c>
      <c r="BB14" s="29">
        <f>BA14*120</f>
        <v>1080</v>
      </c>
      <c r="BC14" s="24">
        <v>100</v>
      </c>
      <c r="BD14" s="43">
        <f t="shared" si="4"/>
        <v>900</v>
      </c>
      <c r="BE14" s="36">
        <f t="shared" si="3"/>
        <v>972.00000000000011</v>
      </c>
    </row>
    <row r="15" spans="1:57" ht="24.75" customHeight="1" x14ac:dyDescent="0.25">
      <c r="A15" s="5">
        <v>10</v>
      </c>
      <c r="B15" s="38">
        <v>32</v>
      </c>
      <c r="C15" s="5" t="s">
        <v>65</v>
      </c>
      <c r="D15" s="5" t="s">
        <v>66</v>
      </c>
      <c r="E15" s="15" t="s">
        <v>48</v>
      </c>
      <c r="F15" s="16"/>
      <c r="G15" s="16"/>
      <c r="H15" s="16"/>
      <c r="I15" s="16"/>
      <c r="J15" s="16"/>
      <c r="K15" s="16"/>
      <c r="L15" s="16"/>
      <c r="M15" s="16"/>
      <c r="N15" s="16"/>
      <c r="O15" s="16"/>
      <c r="P15" s="16"/>
      <c r="Q15" s="16"/>
      <c r="R15" s="16"/>
      <c r="S15" s="16"/>
      <c r="T15" s="16"/>
      <c r="U15" s="16"/>
      <c r="V15" s="16"/>
      <c r="W15" s="16"/>
      <c r="X15" s="16"/>
      <c r="Y15" s="16"/>
      <c r="Z15" s="16"/>
      <c r="AA15" s="16"/>
      <c r="AB15" s="17">
        <v>2</v>
      </c>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7">
        <f t="shared" si="2"/>
        <v>2</v>
      </c>
      <c r="BB15" s="29">
        <f>BA15*1077</f>
        <v>2154</v>
      </c>
      <c r="BC15" s="24">
        <v>897.5</v>
      </c>
      <c r="BD15" s="43">
        <f t="shared" si="4"/>
        <v>1795</v>
      </c>
      <c r="BE15" s="36">
        <f t="shared" si="3"/>
        <v>1938.6000000000001</v>
      </c>
    </row>
    <row r="16" spans="1:57" ht="24.75" customHeight="1" x14ac:dyDescent="0.25">
      <c r="A16" s="5">
        <v>11</v>
      </c>
      <c r="B16" s="38">
        <v>34</v>
      </c>
      <c r="C16" s="5" t="s">
        <v>67</v>
      </c>
      <c r="D16" s="5" t="s">
        <v>68</v>
      </c>
      <c r="E16" s="15" t="s">
        <v>48</v>
      </c>
      <c r="F16" s="16"/>
      <c r="G16" s="16"/>
      <c r="H16" s="17">
        <v>2</v>
      </c>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7">
        <v>2</v>
      </c>
      <c r="AM16" s="16"/>
      <c r="AN16" s="16"/>
      <c r="AO16" s="16"/>
      <c r="AP16" s="16"/>
      <c r="AQ16" s="16"/>
      <c r="AR16" s="16"/>
      <c r="AS16" s="16"/>
      <c r="AT16" s="16"/>
      <c r="AU16" s="16"/>
      <c r="AV16" s="16"/>
      <c r="AW16" s="16"/>
      <c r="AX16" s="16"/>
      <c r="AY16" s="16"/>
      <c r="AZ16" s="16"/>
      <c r="BA16" s="17">
        <f t="shared" si="2"/>
        <v>4</v>
      </c>
      <c r="BB16" s="29">
        <f>BA16*432</f>
        <v>1728</v>
      </c>
      <c r="BC16" s="24">
        <v>360</v>
      </c>
      <c r="BD16" s="43">
        <f t="shared" si="4"/>
        <v>1440</v>
      </c>
      <c r="BE16" s="36">
        <f t="shared" si="3"/>
        <v>1555.2</v>
      </c>
    </row>
    <row r="17" spans="1:57" ht="24.75" customHeight="1" x14ac:dyDescent="0.25">
      <c r="A17" s="5">
        <v>12</v>
      </c>
      <c r="B17" s="38">
        <v>36</v>
      </c>
      <c r="C17" s="5" t="s">
        <v>69</v>
      </c>
      <c r="D17" s="5" t="s">
        <v>70</v>
      </c>
      <c r="E17" s="15" t="s">
        <v>48</v>
      </c>
      <c r="F17" s="16"/>
      <c r="G17" s="16"/>
      <c r="H17" s="16"/>
      <c r="I17" s="16"/>
      <c r="J17" s="16"/>
      <c r="K17" s="16"/>
      <c r="L17" s="16"/>
      <c r="M17" s="16"/>
      <c r="N17" s="16"/>
      <c r="O17" s="16"/>
      <c r="P17" s="16"/>
      <c r="Q17" s="16"/>
      <c r="R17" s="16"/>
      <c r="S17" s="16"/>
      <c r="T17" s="16"/>
      <c r="U17" s="16"/>
      <c r="V17" s="16"/>
      <c r="W17" s="17">
        <v>2</v>
      </c>
      <c r="X17" s="16"/>
      <c r="Y17" s="16"/>
      <c r="Z17" s="16"/>
      <c r="AA17" s="16"/>
      <c r="AB17" s="17">
        <v>5</v>
      </c>
      <c r="AC17" s="17">
        <v>2</v>
      </c>
      <c r="AD17" s="16"/>
      <c r="AE17" s="16"/>
      <c r="AF17" s="16"/>
      <c r="AG17" s="16"/>
      <c r="AH17" s="16"/>
      <c r="AI17" s="16"/>
      <c r="AJ17" s="16"/>
      <c r="AK17" s="16"/>
      <c r="AL17" s="17">
        <v>1</v>
      </c>
      <c r="AM17" s="16"/>
      <c r="AN17" s="16"/>
      <c r="AO17" s="16"/>
      <c r="AP17" s="16"/>
      <c r="AQ17" s="16"/>
      <c r="AR17" s="16"/>
      <c r="AS17" s="16"/>
      <c r="AT17" s="16"/>
      <c r="AU17" s="16"/>
      <c r="AV17" s="16"/>
      <c r="AW17" s="16"/>
      <c r="AX17" s="16"/>
      <c r="AY17" s="16"/>
      <c r="AZ17" s="16"/>
      <c r="BA17" s="17">
        <f t="shared" si="2"/>
        <v>10</v>
      </c>
      <c r="BB17" s="29">
        <f>BA17*209.268</f>
        <v>2092.6799999999998</v>
      </c>
      <c r="BC17" s="24">
        <v>174.39000000000001</v>
      </c>
      <c r="BD17" s="43">
        <f t="shared" si="4"/>
        <v>1743.9</v>
      </c>
      <c r="BE17" s="36">
        <f t="shared" si="3"/>
        <v>1883.4120000000003</v>
      </c>
    </row>
    <row r="18" spans="1:57" ht="24.75" customHeight="1" x14ac:dyDescent="0.25">
      <c r="A18" s="5">
        <v>13</v>
      </c>
      <c r="B18" s="38">
        <v>37</v>
      </c>
      <c r="C18" s="5" t="s">
        <v>71</v>
      </c>
      <c r="D18" s="5" t="s">
        <v>72</v>
      </c>
      <c r="E18" s="15" t="s">
        <v>48</v>
      </c>
      <c r="F18" s="16"/>
      <c r="G18" s="16"/>
      <c r="H18" s="16"/>
      <c r="I18" s="16"/>
      <c r="J18" s="16"/>
      <c r="K18" s="16"/>
      <c r="L18" s="16"/>
      <c r="M18" s="16"/>
      <c r="N18" s="16"/>
      <c r="O18" s="16"/>
      <c r="P18" s="16"/>
      <c r="Q18" s="16"/>
      <c r="R18" s="16"/>
      <c r="S18" s="16"/>
      <c r="T18" s="16"/>
      <c r="U18" s="16"/>
      <c r="V18" s="16"/>
      <c r="W18" s="17">
        <v>1</v>
      </c>
      <c r="X18" s="16"/>
      <c r="Y18" s="16"/>
      <c r="Z18" s="16"/>
      <c r="AA18" s="16"/>
      <c r="AB18" s="16"/>
      <c r="AC18" s="17">
        <v>2</v>
      </c>
      <c r="AD18" s="16"/>
      <c r="AE18" s="17">
        <v>4</v>
      </c>
      <c r="AF18" s="16"/>
      <c r="AG18" s="16"/>
      <c r="AH18" s="16"/>
      <c r="AI18" s="16"/>
      <c r="AJ18" s="16"/>
      <c r="AK18" s="16"/>
      <c r="AL18" s="16"/>
      <c r="AM18" s="16"/>
      <c r="AN18" s="16"/>
      <c r="AO18" s="16"/>
      <c r="AP18" s="16"/>
      <c r="AQ18" s="16"/>
      <c r="AR18" s="16"/>
      <c r="AS18" s="16"/>
      <c r="AT18" s="16"/>
      <c r="AU18" s="16"/>
      <c r="AV18" s="16"/>
      <c r="AW18" s="16"/>
      <c r="AX18" s="16"/>
      <c r="AY18" s="16"/>
      <c r="AZ18" s="16"/>
      <c r="BA18" s="17">
        <f t="shared" si="2"/>
        <v>7</v>
      </c>
      <c r="BB18" s="29">
        <f>BA18*238.511428571429</f>
        <v>1669.5800000000031</v>
      </c>
      <c r="BC18" s="24">
        <v>198.76</v>
      </c>
      <c r="BD18" s="43">
        <f t="shared" si="4"/>
        <v>1391.32</v>
      </c>
      <c r="BE18" s="36">
        <f t="shared" si="3"/>
        <v>1502.6256000000001</v>
      </c>
    </row>
    <row r="19" spans="1:57" ht="24.75" customHeight="1" x14ac:dyDescent="0.25">
      <c r="A19" s="5">
        <v>14</v>
      </c>
      <c r="B19" s="38">
        <v>38</v>
      </c>
      <c r="C19" s="5" t="s">
        <v>73</v>
      </c>
      <c r="D19" s="5" t="s">
        <v>74</v>
      </c>
      <c r="E19" s="15" t="s">
        <v>48</v>
      </c>
      <c r="F19" s="16"/>
      <c r="G19" s="16"/>
      <c r="H19" s="16"/>
      <c r="I19" s="16"/>
      <c r="J19" s="16"/>
      <c r="K19" s="16"/>
      <c r="L19" s="16"/>
      <c r="M19" s="16"/>
      <c r="N19" s="16"/>
      <c r="O19" s="16"/>
      <c r="P19" s="16"/>
      <c r="Q19" s="16"/>
      <c r="R19" s="16"/>
      <c r="S19" s="17">
        <v>1</v>
      </c>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7">
        <f t="shared" si="2"/>
        <v>1</v>
      </c>
      <c r="BB19" s="30">
        <f>BA19*135</f>
        <v>135</v>
      </c>
      <c r="BC19" s="24">
        <v>112.5</v>
      </c>
      <c r="BD19" s="43">
        <f t="shared" si="4"/>
        <v>112.5</v>
      </c>
      <c r="BE19" s="36">
        <f t="shared" si="3"/>
        <v>121.50000000000001</v>
      </c>
    </row>
    <row r="20" spans="1:57" ht="24.75" customHeight="1" x14ac:dyDescent="0.25">
      <c r="A20" s="5">
        <v>15</v>
      </c>
      <c r="B20" s="38">
        <v>39</v>
      </c>
      <c r="C20" s="5" t="s">
        <v>75</v>
      </c>
      <c r="D20" s="5" t="s">
        <v>76</v>
      </c>
      <c r="E20" s="15" t="s">
        <v>48</v>
      </c>
      <c r="F20" s="16"/>
      <c r="G20" s="16"/>
      <c r="H20" s="17">
        <v>2</v>
      </c>
      <c r="I20" s="17">
        <v>2</v>
      </c>
      <c r="J20" s="16"/>
      <c r="K20" s="16"/>
      <c r="L20" s="17">
        <v>4</v>
      </c>
      <c r="M20" s="16"/>
      <c r="N20" s="16"/>
      <c r="O20" s="16"/>
      <c r="P20" s="16"/>
      <c r="Q20" s="16"/>
      <c r="R20" s="16"/>
      <c r="S20" s="16"/>
      <c r="T20" s="17">
        <v>8</v>
      </c>
      <c r="U20" s="16"/>
      <c r="V20" s="16"/>
      <c r="W20" s="16"/>
      <c r="X20" s="16"/>
      <c r="Y20" s="16"/>
      <c r="Z20" s="16"/>
      <c r="AA20" s="16"/>
      <c r="AB20" s="17">
        <v>2</v>
      </c>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7">
        <f t="shared" si="2"/>
        <v>18</v>
      </c>
      <c r="BB20" s="29">
        <f>BA20*5375.00388888889</f>
        <v>96750.070000000022</v>
      </c>
      <c r="BC20" s="24">
        <v>4479.17</v>
      </c>
      <c r="BD20" s="43">
        <f t="shared" si="4"/>
        <v>80625.06</v>
      </c>
      <c r="BE20" s="36">
        <f t="shared" si="3"/>
        <v>87075.064800000007</v>
      </c>
    </row>
    <row r="21" spans="1:57" ht="24.75" customHeight="1" x14ac:dyDescent="0.25">
      <c r="A21" s="5">
        <v>16</v>
      </c>
      <c r="B21" s="38">
        <v>40</v>
      </c>
      <c r="C21" s="5" t="s">
        <v>77</v>
      </c>
      <c r="D21" s="5" t="s">
        <v>78</v>
      </c>
      <c r="E21" s="15" t="s">
        <v>48</v>
      </c>
      <c r="F21" s="16"/>
      <c r="G21" s="16"/>
      <c r="H21" s="16"/>
      <c r="I21" s="16"/>
      <c r="J21" s="16"/>
      <c r="K21" s="16"/>
      <c r="L21" s="16"/>
      <c r="M21" s="16"/>
      <c r="N21" s="16"/>
      <c r="O21" s="16"/>
      <c r="P21" s="16"/>
      <c r="Q21" s="16"/>
      <c r="R21" s="16"/>
      <c r="S21" s="16"/>
      <c r="T21" s="16"/>
      <c r="U21" s="16"/>
      <c r="V21" s="16"/>
      <c r="W21" s="16"/>
      <c r="X21" s="16"/>
      <c r="Y21" s="16"/>
      <c r="Z21" s="16"/>
      <c r="AA21" s="16"/>
      <c r="AB21" s="17">
        <v>2</v>
      </c>
      <c r="AC21" s="16"/>
      <c r="AD21" s="16"/>
      <c r="AE21" s="16"/>
      <c r="AF21" s="16"/>
      <c r="AG21" s="16"/>
      <c r="AH21" s="16"/>
      <c r="AI21" s="16"/>
      <c r="AJ21" s="16"/>
      <c r="AK21" s="16"/>
      <c r="AL21" s="16"/>
      <c r="AM21" s="16"/>
      <c r="AN21" s="16"/>
      <c r="AO21" s="16"/>
      <c r="AP21" s="16"/>
      <c r="AQ21" s="16"/>
      <c r="AR21" s="16"/>
      <c r="AS21" s="16"/>
      <c r="AT21" s="16"/>
      <c r="AU21" s="16"/>
      <c r="AV21" s="16"/>
      <c r="AW21" s="16"/>
      <c r="AX21" s="16"/>
      <c r="AY21" s="16"/>
      <c r="AZ21" s="16"/>
      <c r="BA21" s="17">
        <f t="shared" si="2"/>
        <v>2</v>
      </c>
      <c r="BB21" s="29">
        <f>BA21*5600.005</f>
        <v>11200.01</v>
      </c>
      <c r="BC21" s="24">
        <v>4666.6750000000002</v>
      </c>
      <c r="BD21" s="43">
        <f t="shared" si="4"/>
        <v>9333.35</v>
      </c>
      <c r="BE21" s="36">
        <f t="shared" si="3"/>
        <v>10080.018000000002</v>
      </c>
    </row>
    <row r="22" spans="1:57" ht="24.75" customHeight="1" x14ac:dyDescent="0.25">
      <c r="A22" s="5">
        <v>17</v>
      </c>
      <c r="B22" s="38">
        <v>46</v>
      </c>
      <c r="C22" s="5" t="s">
        <v>79</v>
      </c>
      <c r="D22" s="5" t="s">
        <v>80</v>
      </c>
      <c r="E22" s="15" t="s">
        <v>48</v>
      </c>
      <c r="F22" s="16"/>
      <c r="G22" s="16"/>
      <c r="H22" s="16"/>
      <c r="I22" s="16"/>
      <c r="J22" s="16"/>
      <c r="K22" s="16"/>
      <c r="L22" s="17">
        <v>2</v>
      </c>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c r="AY22" s="16"/>
      <c r="AZ22" s="16"/>
      <c r="BA22" s="17">
        <f t="shared" si="2"/>
        <v>2</v>
      </c>
      <c r="BB22" s="29">
        <f>BA22*2298</f>
        <v>4596</v>
      </c>
      <c r="BC22" s="24">
        <v>1915</v>
      </c>
      <c r="BD22" s="43">
        <f t="shared" si="4"/>
        <v>3830</v>
      </c>
      <c r="BE22" s="36">
        <f t="shared" si="3"/>
        <v>4136.4000000000005</v>
      </c>
    </row>
    <row r="23" spans="1:57" ht="24.75" customHeight="1" x14ac:dyDescent="0.25">
      <c r="A23" s="5">
        <v>18</v>
      </c>
      <c r="B23" s="38">
        <v>55</v>
      </c>
      <c r="C23" s="5" t="s">
        <v>81</v>
      </c>
      <c r="D23" s="5" t="s">
        <v>82</v>
      </c>
      <c r="E23" s="15" t="s">
        <v>48</v>
      </c>
      <c r="F23" s="16"/>
      <c r="G23" s="16"/>
      <c r="H23" s="17">
        <v>42</v>
      </c>
      <c r="I23" s="17">
        <v>35</v>
      </c>
      <c r="J23" s="17">
        <v>50</v>
      </c>
      <c r="K23" s="17">
        <v>10</v>
      </c>
      <c r="L23" s="17">
        <v>15</v>
      </c>
      <c r="M23" s="16"/>
      <c r="N23" s="16"/>
      <c r="O23" s="16"/>
      <c r="P23" s="16"/>
      <c r="Q23" s="16"/>
      <c r="R23" s="16"/>
      <c r="S23" s="16"/>
      <c r="T23" s="17">
        <v>38</v>
      </c>
      <c r="U23" s="16"/>
      <c r="V23" s="16"/>
      <c r="W23" s="17">
        <v>10</v>
      </c>
      <c r="X23" s="17">
        <v>15</v>
      </c>
      <c r="Y23" s="16"/>
      <c r="Z23" s="16"/>
      <c r="AA23" s="16"/>
      <c r="AB23" s="16"/>
      <c r="AC23" s="17">
        <v>5</v>
      </c>
      <c r="AD23" s="16"/>
      <c r="AE23" s="17">
        <v>18</v>
      </c>
      <c r="AF23" s="16"/>
      <c r="AG23" s="16"/>
      <c r="AH23" s="16"/>
      <c r="AI23" s="16"/>
      <c r="AJ23" s="16"/>
      <c r="AK23" s="16"/>
      <c r="AL23" s="16"/>
      <c r="AM23" s="16"/>
      <c r="AN23" s="16"/>
      <c r="AO23" s="16"/>
      <c r="AP23" s="16"/>
      <c r="AQ23" s="16"/>
      <c r="AR23" s="16"/>
      <c r="AS23" s="16"/>
      <c r="AT23" s="16"/>
      <c r="AU23" s="17">
        <v>20</v>
      </c>
      <c r="AV23" s="16"/>
      <c r="AW23" s="16"/>
      <c r="AX23" s="16"/>
      <c r="AY23" s="16"/>
      <c r="AZ23" s="16"/>
      <c r="BA23" s="17">
        <f t="shared" si="2"/>
        <v>258</v>
      </c>
      <c r="BB23" s="29">
        <f>BA23*234</f>
        <v>60372</v>
      </c>
      <c r="BC23" s="24">
        <v>195</v>
      </c>
      <c r="BD23" s="43">
        <f t="shared" si="4"/>
        <v>50310</v>
      </c>
      <c r="BE23" s="36">
        <f t="shared" si="3"/>
        <v>54334.8</v>
      </c>
    </row>
    <row r="24" spans="1:57" ht="24.75" customHeight="1" x14ac:dyDescent="0.25">
      <c r="A24" s="5">
        <v>19</v>
      </c>
      <c r="B24" s="38">
        <v>56</v>
      </c>
      <c r="C24" s="5" t="s">
        <v>83</v>
      </c>
      <c r="D24" s="5" t="s">
        <v>84</v>
      </c>
      <c r="E24" s="15" t="s">
        <v>48</v>
      </c>
      <c r="F24" s="16"/>
      <c r="G24" s="16"/>
      <c r="H24" s="16"/>
      <c r="I24" s="17">
        <v>10</v>
      </c>
      <c r="J24" s="16"/>
      <c r="K24" s="16"/>
      <c r="L24" s="16"/>
      <c r="M24" s="16"/>
      <c r="N24" s="16"/>
      <c r="O24" s="16"/>
      <c r="P24" s="16"/>
      <c r="Q24" s="16"/>
      <c r="R24" s="16"/>
      <c r="S24" s="16"/>
      <c r="T24" s="16"/>
      <c r="U24" s="16"/>
      <c r="V24" s="16"/>
      <c r="W24" s="16"/>
      <c r="X24" s="16"/>
      <c r="Y24" s="16"/>
      <c r="Z24" s="16"/>
      <c r="AA24" s="16"/>
      <c r="AB24" s="17">
        <v>5</v>
      </c>
      <c r="AC24" s="16"/>
      <c r="AD24" s="16"/>
      <c r="AE24" s="17">
        <v>4</v>
      </c>
      <c r="AF24" s="16"/>
      <c r="AG24" s="16"/>
      <c r="AH24" s="16"/>
      <c r="AI24" s="16"/>
      <c r="AJ24" s="16"/>
      <c r="AK24" s="16"/>
      <c r="AL24" s="16"/>
      <c r="AM24" s="16"/>
      <c r="AN24" s="16"/>
      <c r="AO24" s="16"/>
      <c r="AP24" s="16"/>
      <c r="AQ24" s="16"/>
      <c r="AR24" s="16"/>
      <c r="AS24" s="16"/>
      <c r="AT24" s="16"/>
      <c r="AU24" s="16"/>
      <c r="AV24" s="16"/>
      <c r="AW24" s="17">
        <v>2</v>
      </c>
      <c r="AX24" s="16"/>
      <c r="AY24" s="16"/>
      <c r="AZ24" s="16"/>
      <c r="BA24" s="17">
        <f t="shared" si="2"/>
        <v>21</v>
      </c>
      <c r="BB24" s="29">
        <f>BA24*500.111904761905</f>
        <v>10502.350000000006</v>
      </c>
      <c r="BC24" s="24">
        <v>416.76000000000005</v>
      </c>
      <c r="BD24" s="43">
        <f t="shared" si="4"/>
        <v>8751.9599999999991</v>
      </c>
      <c r="BE24" s="36">
        <f t="shared" si="3"/>
        <v>9452.1167999999998</v>
      </c>
    </row>
    <row r="25" spans="1:57" ht="24.75" customHeight="1" x14ac:dyDescent="0.25">
      <c r="A25" s="5">
        <v>20</v>
      </c>
      <c r="B25" s="38">
        <v>58</v>
      </c>
      <c r="C25" s="5" t="s">
        <v>85</v>
      </c>
      <c r="D25" s="5" t="s">
        <v>86</v>
      </c>
      <c r="E25" s="15" t="s">
        <v>48</v>
      </c>
      <c r="F25" s="17">
        <v>50</v>
      </c>
      <c r="G25" s="17"/>
      <c r="H25" s="16"/>
      <c r="I25" s="16"/>
      <c r="J25" s="16"/>
      <c r="K25" s="16"/>
      <c r="L25" s="17">
        <v>12</v>
      </c>
      <c r="M25" s="16"/>
      <c r="N25" s="16"/>
      <c r="O25" s="16"/>
      <c r="P25" s="16"/>
      <c r="Q25" s="16"/>
      <c r="R25" s="17">
        <v>40</v>
      </c>
      <c r="S25" s="16"/>
      <c r="T25" s="16"/>
      <c r="U25" s="16"/>
      <c r="V25" s="16"/>
      <c r="W25" s="16"/>
      <c r="X25" s="16"/>
      <c r="Y25" s="17">
        <v>2</v>
      </c>
      <c r="Z25" s="16"/>
      <c r="AA25" s="16"/>
      <c r="AB25" s="17">
        <v>430</v>
      </c>
      <c r="AC25" s="16"/>
      <c r="AD25" s="16"/>
      <c r="AE25" s="16"/>
      <c r="AF25" s="16"/>
      <c r="AG25" s="16"/>
      <c r="AH25" s="16"/>
      <c r="AI25" s="16"/>
      <c r="AJ25" s="16"/>
      <c r="AK25" s="16"/>
      <c r="AL25" s="16"/>
      <c r="AM25" s="16"/>
      <c r="AN25" s="17">
        <v>40</v>
      </c>
      <c r="AO25" s="16"/>
      <c r="AP25" s="16"/>
      <c r="AQ25" s="16"/>
      <c r="AR25" s="16"/>
      <c r="AS25" s="16"/>
      <c r="AT25" s="16"/>
      <c r="AU25" s="16"/>
      <c r="AV25" s="16"/>
      <c r="AW25" s="16"/>
      <c r="AX25" s="16"/>
      <c r="AY25" s="16"/>
      <c r="AZ25" s="16"/>
      <c r="BA25" s="17">
        <f t="shared" si="2"/>
        <v>574</v>
      </c>
      <c r="BB25" s="29">
        <f>BA25*29.0279965156794</f>
        <v>16662.069999999978</v>
      </c>
      <c r="BC25" s="24">
        <v>24.189999999999998</v>
      </c>
      <c r="BD25" s="43">
        <f t="shared" si="4"/>
        <v>13885.06</v>
      </c>
      <c r="BE25" s="36">
        <f t="shared" si="3"/>
        <v>14995.864800000001</v>
      </c>
    </row>
    <row r="26" spans="1:57" ht="24.75" customHeight="1" x14ac:dyDescent="0.25">
      <c r="A26" s="5">
        <v>21</v>
      </c>
      <c r="B26" s="38">
        <v>59</v>
      </c>
      <c r="C26" s="5" t="s">
        <v>87</v>
      </c>
      <c r="D26" s="5" t="s">
        <v>88</v>
      </c>
      <c r="E26" s="15" t="s">
        <v>48</v>
      </c>
      <c r="F26" s="17">
        <v>10</v>
      </c>
      <c r="G26" s="17"/>
      <c r="H26" s="16"/>
      <c r="I26" s="16"/>
      <c r="J26" s="16"/>
      <c r="K26" s="16"/>
      <c r="L26" s="16"/>
      <c r="M26" s="16"/>
      <c r="N26" s="16"/>
      <c r="O26" s="16"/>
      <c r="P26" s="16"/>
      <c r="Q26" s="16"/>
      <c r="R26" s="17">
        <v>40</v>
      </c>
      <c r="S26" s="17">
        <v>10</v>
      </c>
      <c r="T26" s="17">
        <v>100</v>
      </c>
      <c r="U26" s="16"/>
      <c r="V26" s="16"/>
      <c r="W26" s="16"/>
      <c r="X26" s="16"/>
      <c r="Y26" s="16"/>
      <c r="Z26" s="16"/>
      <c r="AA26" s="16"/>
      <c r="AB26" s="17">
        <v>430</v>
      </c>
      <c r="AC26" s="17">
        <v>5</v>
      </c>
      <c r="AD26" s="16"/>
      <c r="AE26" s="16"/>
      <c r="AF26" s="16"/>
      <c r="AG26" s="16"/>
      <c r="AH26" s="16"/>
      <c r="AI26" s="16"/>
      <c r="AJ26" s="16"/>
      <c r="AK26" s="16"/>
      <c r="AL26" s="16"/>
      <c r="AM26" s="16"/>
      <c r="AN26" s="17">
        <v>40</v>
      </c>
      <c r="AO26" s="16"/>
      <c r="AP26" s="16"/>
      <c r="AQ26" s="16"/>
      <c r="AR26" s="16"/>
      <c r="AS26" s="16"/>
      <c r="AT26" s="16"/>
      <c r="AU26" s="16"/>
      <c r="AV26" s="16"/>
      <c r="AW26" s="16"/>
      <c r="AX26" s="16"/>
      <c r="AY26" s="16"/>
      <c r="AZ26" s="16"/>
      <c r="BA26" s="17">
        <f t="shared" si="2"/>
        <v>635</v>
      </c>
      <c r="BB26" s="29">
        <f>BA26*29.028</f>
        <v>18432.78</v>
      </c>
      <c r="BC26" s="24">
        <v>24.189999999999998</v>
      </c>
      <c r="BD26" s="43">
        <f t="shared" si="4"/>
        <v>15360.65</v>
      </c>
      <c r="BE26" s="36">
        <f t="shared" si="3"/>
        <v>16589.502</v>
      </c>
    </row>
    <row r="27" spans="1:57" ht="24.75" customHeight="1" x14ac:dyDescent="0.25">
      <c r="A27" s="5">
        <v>22</v>
      </c>
      <c r="B27" s="38">
        <v>60</v>
      </c>
      <c r="C27" s="5" t="s">
        <v>89</v>
      </c>
      <c r="D27" s="5" t="s">
        <v>90</v>
      </c>
      <c r="E27" s="15" t="s">
        <v>48</v>
      </c>
      <c r="F27" s="16"/>
      <c r="G27" s="16"/>
      <c r="H27" s="16"/>
      <c r="I27" s="16"/>
      <c r="J27" s="16"/>
      <c r="K27" s="16"/>
      <c r="L27" s="16"/>
      <c r="M27" s="16"/>
      <c r="N27" s="16"/>
      <c r="O27" s="16"/>
      <c r="P27" s="16"/>
      <c r="Q27" s="16"/>
      <c r="R27" s="16"/>
      <c r="S27" s="16"/>
      <c r="T27" s="16"/>
      <c r="U27" s="16"/>
      <c r="V27" s="16"/>
      <c r="W27" s="16"/>
      <c r="X27" s="16"/>
      <c r="Y27" s="16"/>
      <c r="Z27" s="16"/>
      <c r="AA27" s="16"/>
      <c r="AB27" s="17">
        <v>26</v>
      </c>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7">
        <f t="shared" si="2"/>
        <v>26</v>
      </c>
      <c r="BB27" s="29">
        <f>BA27*1992.36</f>
        <v>51801.36</v>
      </c>
      <c r="BC27" s="24">
        <v>1660.3000000000002</v>
      </c>
      <c r="BD27" s="43">
        <f t="shared" si="4"/>
        <v>43167.8</v>
      </c>
      <c r="BE27" s="36">
        <f t="shared" si="3"/>
        <v>46621.224000000009</v>
      </c>
    </row>
    <row r="28" spans="1:57" ht="24.75" customHeight="1" x14ac:dyDescent="0.25">
      <c r="A28" s="5">
        <v>23</v>
      </c>
      <c r="B28" s="38">
        <v>61</v>
      </c>
      <c r="C28" s="5" t="s">
        <v>91</v>
      </c>
      <c r="D28" s="5" t="s">
        <v>92</v>
      </c>
      <c r="E28" s="15" t="s">
        <v>48</v>
      </c>
      <c r="F28" s="16"/>
      <c r="G28" s="16"/>
      <c r="H28" s="17">
        <v>2</v>
      </c>
      <c r="I28" s="17">
        <v>20</v>
      </c>
      <c r="J28" s="16"/>
      <c r="K28" s="16"/>
      <c r="L28" s="16"/>
      <c r="M28" s="16"/>
      <c r="N28" s="16"/>
      <c r="O28" s="16"/>
      <c r="P28" s="16"/>
      <c r="Q28" s="16"/>
      <c r="R28" s="16"/>
      <c r="S28" s="17">
        <v>1</v>
      </c>
      <c r="T28" s="16"/>
      <c r="U28" s="16"/>
      <c r="V28" s="16"/>
      <c r="W28" s="16"/>
      <c r="X28" s="16"/>
      <c r="Y28" s="16"/>
      <c r="Z28" s="16"/>
      <c r="AA28" s="16"/>
      <c r="AB28" s="17">
        <v>20</v>
      </c>
      <c r="AC28" s="16"/>
      <c r="AD28" s="16"/>
      <c r="AE28" s="17">
        <v>12</v>
      </c>
      <c r="AF28" s="16"/>
      <c r="AG28" s="16"/>
      <c r="AH28" s="16"/>
      <c r="AI28" s="17">
        <v>5</v>
      </c>
      <c r="AJ28" s="16"/>
      <c r="AK28" s="16"/>
      <c r="AL28" s="16"/>
      <c r="AM28" s="16"/>
      <c r="AN28" s="16"/>
      <c r="AO28" s="16"/>
      <c r="AP28" s="16"/>
      <c r="AQ28" s="16"/>
      <c r="AR28" s="16"/>
      <c r="AS28" s="16"/>
      <c r="AT28" s="16"/>
      <c r="AU28" s="16"/>
      <c r="AV28" s="16"/>
      <c r="AW28" s="17">
        <v>6</v>
      </c>
      <c r="AX28" s="16"/>
      <c r="AY28" s="16"/>
      <c r="AZ28" s="16"/>
      <c r="BA28" s="17">
        <f t="shared" si="2"/>
        <v>66</v>
      </c>
      <c r="BB28" s="29">
        <f>BA28*18</f>
        <v>1188</v>
      </c>
      <c r="BC28" s="24">
        <v>15</v>
      </c>
      <c r="BD28" s="43">
        <f t="shared" si="4"/>
        <v>990</v>
      </c>
      <c r="BE28" s="36">
        <f t="shared" si="3"/>
        <v>1069.2</v>
      </c>
    </row>
    <row r="29" spans="1:57" ht="24.75" customHeight="1" x14ac:dyDescent="0.25">
      <c r="A29" s="5">
        <v>24</v>
      </c>
      <c r="B29" s="38">
        <v>62</v>
      </c>
      <c r="C29" s="5" t="s">
        <v>93</v>
      </c>
      <c r="D29" s="5" t="s">
        <v>94</v>
      </c>
      <c r="E29" s="15" t="s">
        <v>48</v>
      </c>
      <c r="F29" s="16"/>
      <c r="G29" s="16"/>
      <c r="H29" s="16"/>
      <c r="I29" s="16"/>
      <c r="J29" s="16"/>
      <c r="K29" s="16"/>
      <c r="L29" s="16"/>
      <c r="M29" s="16"/>
      <c r="N29" s="16"/>
      <c r="O29" s="16"/>
      <c r="P29" s="16"/>
      <c r="Q29" s="16"/>
      <c r="R29" s="16"/>
      <c r="S29" s="17">
        <v>1</v>
      </c>
      <c r="T29" s="16"/>
      <c r="U29" s="16"/>
      <c r="V29" s="16"/>
      <c r="W29" s="16"/>
      <c r="X29" s="16"/>
      <c r="Y29" s="16"/>
      <c r="Z29" s="16"/>
      <c r="AA29" s="16"/>
      <c r="AB29" s="17">
        <v>4</v>
      </c>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7">
        <f t="shared" si="2"/>
        <v>5</v>
      </c>
      <c r="BB29" s="29">
        <f>BA29*3633</f>
        <v>18165</v>
      </c>
      <c r="BC29" s="24">
        <v>3027.5</v>
      </c>
      <c r="BD29" s="43">
        <f t="shared" si="4"/>
        <v>15137.5</v>
      </c>
      <c r="BE29" s="36">
        <f t="shared" si="3"/>
        <v>16348.500000000002</v>
      </c>
    </row>
    <row r="30" spans="1:57" ht="24.75" customHeight="1" x14ac:dyDescent="0.25">
      <c r="A30" s="5">
        <v>25</v>
      </c>
      <c r="B30" s="38">
        <v>64</v>
      </c>
      <c r="C30" s="5" t="s">
        <v>95</v>
      </c>
      <c r="D30" s="5" t="s">
        <v>96</v>
      </c>
      <c r="E30" s="15" t="s">
        <v>48</v>
      </c>
      <c r="F30" s="16"/>
      <c r="G30" s="16"/>
      <c r="H30" s="16"/>
      <c r="I30" s="16"/>
      <c r="J30" s="16"/>
      <c r="K30" s="16"/>
      <c r="L30" s="16"/>
      <c r="M30" s="16"/>
      <c r="N30" s="16"/>
      <c r="O30" s="16"/>
      <c r="P30" s="16"/>
      <c r="Q30" s="16"/>
      <c r="R30" s="16"/>
      <c r="S30" s="16"/>
      <c r="T30" s="16"/>
      <c r="U30" s="16"/>
      <c r="V30" s="16"/>
      <c r="W30" s="17">
        <v>1</v>
      </c>
      <c r="X30" s="16"/>
      <c r="Y30" s="16"/>
      <c r="Z30" s="16"/>
      <c r="AA30" s="16"/>
      <c r="AB30" s="17">
        <v>5</v>
      </c>
      <c r="AC30" s="17">
        <v>2</v>
      </c>
      <c r="AD30" s="16"/>
      <c r="AE30" s="16"/>
      <c r="AF30" s="16"/>
      <c r="AG30" s="16"/>
      <c r="AH30" s="16"/>
      <c r="AI30" s="17">
        <v>1</v>
      </c>
      <c r="AJ30" s="16"/>
      <c r="AK30" s="16"/>
      <c r="AL30" s="16"/>
      <c r="AM30" s="16"/>
      <c r="AN30" s="16"/>
      <c r="AO30" s="16"/>
      <c r="AP30" s="16"/>
      <c r="AQ30" s="16"/>
      <c r="AR30" s="16"/>
      <c r="AS30" s="16"/>
      <c r="AT30" s="16"/>
      <c r="AU30" s="16"/>
      <c r="AV30" s="16"/>
      <c r="AW30" s="16"/>
      <c r="AX30" s="16"/>
      <c r="AY30" s="16"/>
      <c r="AZ30" s="16"/>
      <c r="BA30" s="17">
        <f t="shared" si="2"/>
        <v>9</v>
      </c>
      <c r="BB30" s="29">
        <f>BA30*720.48</f>
        <v>6484.32</v>
      </c>
      <c r="BC30" s="24">
        <v>600.40000000000009</v>
      </c>
      <c r="BD30" s="43">
        <f t="shared" si="4"/>
        <v>5403.6</v>
      </c>
      <c r="BE30" s="36">
        <f t="shared" si="3"/>
        <v>5835.8880000000008</v>
      </c>
    </row>
    <row r="31" spans="1:57" ht="24.75" customHeight="1" x14ac:dyDescent="0.25">
      <c r="A31" s="5">
        <v>26</v>
      </c>
      <c r="B31" s="38">
        <v>66</v>
      </c>
      <c r="C31" s="5" t="s">
        <v>97</v>
      </c>
      <c r="D31" s="5" t="s">
        <v>98</v>
      </c>
      <c r="E31" s="15" t="s">
        <v>48</v>
      </c>
      <c r="F31" s="16"/>
      <c r="G31" s="16"/>
      <c r="H31" s="16"/>
      <c r="I31" s="16"/>
      <c r="J31" s="16"/>
      <c r="K31" s="16"/>
      <c r="L31" s="16"/>
      <c r="M31" s="16"/>
      <c r="N31" s="16"/>
      <c r="O31" s="16"/>
      <c r="P31" s="16"/>
      <c r="Q31" s="16"/>
      <c r="R31" s="17">
        <v>3</v>
      </c>
      <c r="S31" s="17">
        <v>5</v>
      </c>
      <c r="T31" s="16"/>
      <c r="U31" s="16"/>
      <c r="V31" s="16"/>
      <c r="W31" s="16"/>
      <c r="X31" s="16"/>
      <c r="Y31" s="16"/>
      <c r="Z31" s="16"/>
      <c r="AA31" s="16"/>
      <c r="AB31" s="17">
        <v>24</v>
      </c>
      <c r="AC31" s="16"/>
      <c r="AD31" s="16"/>
      <c r="AE31" s="16"/>
      <c r="AF31" s="16"/>
      <c r="AG31" s="16"/>
      <c r="AH31" s="16"/>
      <c r="AI31" s="17">
        <v>2</v>
      </c>
      <c r="AJ31" s="16"/>
      <c r="AK31" s="16"/>
      <c r="AL31" s="16"/>
      <c r="AM31" s="16"/>
      <c r="AN31" s="16"/>
      <c r="AO31" s="16"/>
      <c r="AP31" s="16"/>
      <c r="AQ31" s="16"/>
      <c r="AR31" s="16"/>
      <c r="AS31" s="16"/>
      <c r="AT31" s="16"/>
      <c r="AU31" s="16"/>
      <c r="AV31" s="16"/>
      <c r="AW31" s="16"/>
      <c r="AX31" s="16"/>
      <c r="AY31" s="16"/>
      <c r="AZ31" s="16"/>
      <c r="BA31" s="17">
        <f t="shared" si="2"/>
        <v>34</v>
      </c>
      <c r="BB31" s="29">
        <f>BA31*40.0079411764706</f>
        <v>1360.2700000000004</v>
      </c>
      <c r="BC31" s="24">
        <v>33.339999999999996</v>
      </c>
      <c r="BD31" s="43">
        <f t="shared" si="4"/>
        <v>1133.56</v>
      </c>
      <c r="BE31" s="36">
        <f t="shared" si="3"/>
        <v>1224.2447999999999</v>
      </c>
    </row>
    <row r="32" spans="1:57" ht="24.75" customHeight="1" x14ac:dyDescent="0.25">
      <c r="A32" s="5">
        <v>27</v>
      </c>
      <c r="B32" s="38">
        <v>67</v>
      </c>
      <c r="C32" s="5" t="s">
        <v>99</v>
      </c>
      <c r="D32" s="5" t="s">
        <v>100</v>
      </c>
      <c r="E32" s="15" t="s">
        <v>48</v>
      </c>
      <c r="F32" s="16"/>
      <c r="G32" s="16"/>
      <c r="H32" s="16"/>
      <c r="I32" s="16"/>
      <c r="J32" s="16"/>
      <c r="K32" s="16"/>
      <c r="L32" s="16"/>
      <c r="M32" s="16"/>
      <c r="N32" s="16"/>
      <c r="O32" s="16"/>
      <c r="P32" s="16"/>
      <c r="Q32" s="16"/>
      <c r="R32" s="17">
        <v>3</v>
      </c>
      <c r="S32" s="17">
        <v>5</v>
      </c>
      <c r="T32" s="16"/>
      <c r="U32" s="16"/>
      <c r="V32" s="16"/>
      <c r="W32" s="16"/>
      <c r="X32" s="16"/>
      <c r="Y32" s="16"/>
      <c r="Z32" s="16"/>
      <c r="AA32" s="16"/>
      <c r="AB32" s="17">
        <v>24</v>
      </c>
      <c r="AC32" s="16"/>
      <c r="AD32" s="16"/>
      <c r="AE32" s="16"/>
      <c r="AF32" s="16"/>
      <c r="AG32" s="16"/>
      <c r="AH32" s="16"/>
      <c r="AI32" s="17">
        <v>2</v>
      </c>
      <c r="AJ32" s="16"/>
      <c r="AK32" s="16"/>
      <c r="AL32" s="16"/>
      <c r="AM32" s="16"/>
      <c r="AN32" s="16"/>
      <c r="AO32" s="16"/>
      <c r="AP32" s="16"/>
      <c r="AQ32" s="16"/>
      <c r="AR32" s="16"/>
      <c r="AS32" s="16"/>
      <c r="AT32" s="16"/>
      <c r="AU32" s="16"/>
      <c r="AV32" s="16"/>
      <c r="AW32" s="16"/>
      <c r="AX32" s="16"/>
      <c r="AY32" s="16"/>
      <c r="AZ32" s="16"/>
      <c r="BA32" s="17">
        <f t="shared" si="2"/>
        <v>34</v>
      </c>
      <c r="BB32" s="29">
        <f>BA32*40.0079411764706</f>
        <v>1360.2700000000004</v>
      </c>
      <c r="BC32" s="24">
        <v>33.339999999999996</v>
      </c>
      <c r="BD32" s="43">
        <f t="shared" si="4"/>
        <v>1133.56</v>
      </c>
      <c r="BE32" s="36">
        <f t="shared" si="3"/>
        <v>1224.2447999999999</v>
      </c>
    </row>
    <row r="33" spans="1:57" ht="24.75" customHeight="1" x14ac:dyDescent="0.25">
      <c r="A33" s="5">
        <v>28</v>
      </c>
      <c r="B33" s="38">
        <v>70</v>
      </c>
      <c r="C33" s="5" t="s">
        <v>101</v>
      </c>
      <c r="D33" s="5" t="s">
        <v>102</v>
      </c>
      <c r="E33" s="15" t="s">
        <v>48</v>
      </c>
      <c r="F33" s="16"/>
      <c r="G33" s="16"/>
      <c r="H33" s="16"/>
      <c r="I33" s="16"/>
      <c r="J33" s="16"/>
      <c r="K33" s="16"/>
      <c r="L33" s="16"/>
      <c r="M33" s="16"/>
      <c r="N33" s="16"/>
      <c r="O33" s="16"/>
      <c r="P33" s="16"/>
      <c r="Q33" s="16"/>
      <c r="R33" s="16"/>
      <c r="S33" s="17">
        <v>1</v>
      </c>
      <c r="T33" s="16"/>
      <c r="U33" s="16"/>
      <c r="V33" s="16"/>
      <c r="W33" s="16"/>
      <c r="X33" s="16"/>
      <c r="Y33" s="16"/>
      <c r="Z33" s="16"/>
      <c r="AA33" s="16"/>
      <c r="AB33" s="17">
        <v>13</v>
      </c>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7">
        <f t="shared" si="2"/>
        <v>14</v>
      </c>
      <c r="BB33" s="29">
        <f>BA33*2045.16</f>
        <v>28632.240000000002</v>
      </c>
      <c r="BC33" s="24">
        <v>1704.3</v>
      </c>
      <c r="BD33" s="43">
        <f t="shared" si="4"/>
        <v>23860.2</v>
      </c>
      <c r="BE33" s="36">
        <f t="shared" si="3"/>
        <v>25769.016000000003</v>
      </c>
    </row>
    <row r="34" spans="1:57" ht="24.75" customHeight="1" x14ac:dyDescent="0.25">
      <c r="A34" s="5">
        <v>29</v>
      </c>
      <c r="B34" s="38">
        <v>74</v>
      </c>
      <c r="C34" s="5" t="s">
        <v>103</v>
      </c>
      <c r="D34" s="6" t="s">
        <v>104</v>
      </c>
      <c r="E34" s="15" t="s">
        <v>48</v>
      </c>
      <c r="F34" s="17">
        <v>2</v>
      </c>
      <c r="G34" s="17"/>
      <c r="H34" s="16"/>
      <c r="I34" s="16"/>
      <c r="J34" s="16"/>
      <c r="K34" s="17">
        <v>6</v>
      </c>
      <c r="L34" s="16"/>
      <c r="M34" s="16"/>
      <c r="N34" s="16"/>
      <c r="O34" s="16"/>
      <c r="P34" s="16"/>
      <c r="Q34" s="16"/>
      <c r="R34" s="16"/>
      <c r="S34" s="17">
        <v>5</v>
      </c>
      <c r="T34" s="16"/>
      <c r="U34" s="16"/>
      <c r="V34" s="16"/>
      <c r="W34" s="17">
        <v>19</v>
      </c>
      <c r="X34" s="16"/>
      <c r="Y34" s="16"/>
      <c r="Z34" s="17">
        <v>13</v>
      </c>
      <c r="AA34" s="17">
        <v>5</v>
      </c>
      <c r="AB34" s="17">
        <v>97</v>
      </c>
      <c r="AC34" s="16"/>
      <c r="AD34" s="16"/>
      <c r="AE34" s="17">
        <v>2</v>
      </c>
      <c r="AF34" s="16"/>
      <c r="AG34" s="16"/>
      <c r="AH34" s="17">
        <v>10</v>
      </c>
      <c r="AI34" s="16"/>
      <c r="AJ34" s="16">
        <v>2</v>
      </c>
      <c r="AK34" s="17">
        <v>12</v>
      </c>
      <c r="AL34" s="16"/>
      <c r="AM34" s="16"/>
      <c r="AN34" s="16"/>
      <c r="AO34" s="16"/>
      <c r="AP34" s="17">
        <v>3</v>
      </c>
      <c r="AQ34" s="17">
        <v>1</v>
      </c>
      <c r="AR34" s="16"/>
      <c r="AS34" s="16"/>
      <c r="AT34" s="17">
        <v>5</v>
      </c>
      <c r="AU34" s="17">
        <v>2</v>
      </c>
      <c r="AV34" s="17">
        <v>5</v>
      </c>
      <c r="AW34" s="16"/>
      <c r="AX34" s="16"/>
      <c r="AY34" s="17">
        <v>4</v>
      </c>
      <c r="AZ34" s="17"/>
      <c r="BA34" s="17">
        <f t="shared" si="2"/>
        <v>193</v>
      </c>
      <c r="BB34" s="29">
        <f>BA34*1755</f>
        <v>338715</v>
      </c>
      <c r="BC34" s="24">
        <v>1462.5</v>
      </c>
      <c r="BD34" s="43">
        <f t="shared" si="4"/>
        <v>282262.5</v>
      </c>
      <c r="BE34" s="36">
        <f t="shared" si="3"/>
        <v>304843.5</v>
      </c>
    </row>
    <row r="35" spans="1:57" ht="24.75" customHeight="1" x14ac:dyDescent="0.25">
      <c r="A35" s="5">
        <v>30</v>
      </c>
      <c r="B35" s="38">
        <v>75</v>
      </c>
      <c r="C35" s="5" t="s">
        <v>105</v>
      </c>
      <c r="D35" s="5" t="s">
        <v>106</v>
      </c>
      <c r="E35" s="15" t="s">
        <v>48</v>
      </c>
      <c r="F35" s="17">
        <v>6</v>
      </c>
      <c r="G35" s="17"/>
      <c r="H35" s="16"/>
      <c r="I35" s="16"/>
      <c r="J35" s="16"/>
      <c r="K35" s="17">
        <v>6</v>
      </c>
      <c r="L35" s="16"/>
      <c r="M35" s="16"/>
      <c r="N35" s="16"/>
      <c r="O35" s="16"/>
      <c r="P35" s="16"/>
      <c r="Q35" s="16"/>
      <c r="R35" s="16"/>
      <c r="S35" s="17">
        <v>2</v>
      </c>
      <c r="T35" s="16"/>
      <c r="U35" s="16"/>
      <c r="V35" s="16"/>
      <c r="W35" s="16"/>
      <c r="X35" s="17">
        <v>1</v>
      </c>
      <c r="Y35" s="16"/>
      <c r="Z35" s="16"/>
      <c r="AA35" s="16"/>
      <c r="AB35" s="17">
        <v>15</v>
      </c>
      <c r="AC35" s="16"/>
      <c r="AD35" s="16"/>
      <c r="AE35" s="17">
        <v>4</v>
      </c>
      <c r="AF35" s="16"/>
      <c r="AG35" s="16"/>
      <c r="AH35" s="16"/>
      <c r="AI35" s="16"/>
      <c r="AJ35" s="16"/>
      <c r="AK35" s="17">
        <v>6</v>
      </c>
      <c r="AL35" s="16"/>
      <c r="AM35" s="16"/>
      <c r="AN35" s="16"/>
      <c r="AO35" s="16"/>
      <c r="AP35" s="16"/>
      <c r="AQ35" s="16"/>
      <c r="AR35" s="16"/>
      <c r="AS35" s="16"/>
      <c r="AT35" s="17">
        <v>2</v>
      </c>
      <c r="AU35" s="17">
        <v>2</v>
      </c>
      <c r="AV35" s="16"/>
      <c r="AW35" s="17">
        <v>1</v>
      </c>
      <c r="AX35" s="16"/>
      <c r="AY35" s="16"/>
      <c r="AZ35" s="16"/>
      <c r="BA35" s="17">
        <f t="shared" si="2"/>
        <v>45</v>
      </c>
      <c r="BB35" s="29">
        <f>BA35*750</f>
        <v>33750</v>
      </c>
      <c r="BC35" s="24">
        <v>625</v>
      </c>
      <c r="BD35" s="43">
        <f t="shared" si="4"/>
        <v>28125</v>
      </c>
      <c r="BE35" s="36">
        <f t="shared" si="3"/>
        <v>30375.000000000004</v>
      </c>
    </row>
    <row r="36" spans="1:57" ht="24.75" customHeight="1" x14ac:dyDescent="0.25">
      <c r="A36" s="5">
        <v>31</v>
      </c>
      <c r="B36" s="38">
        <v>76</v>
      </c>
      <c r="C36" s="5" t="s">
        <v>107</v>
      </c>
      <c r="D36" s="5" t="s">
        <v>108</v>
      </c>
      <c r="E36" s="15" t="s">
        <v>48</v>
      </c>
      <c r="F36" s="16"/>
      <c r="G36" s="16"/>
      <c r="H36" s="16"/>
      <c r="I36" s="16"/>
      <c r="J36" s="16"/>
      <c r="K36" s="16"/>
      <c r="L36" s="16"/>
      <c r="M36" s="16"/>
      <c r="N36" s="16"/>
      <c r="O36" s="16"/>
      <c r="P36" s="16"/>
      <c r="Q36" s="16"/>
      <c r="R36" s="17">
        <v>6</v>
      </c>
      <c r="S36" s="17">
        <v>1</v>
      </c>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7">
        <v>1</v>
      </c>
      <c r="AV36" s="16"/>
      <c r="AW36" s="16"/>
      <c r="AX36" s="16"/>
      <c r="AY36" s="16"/>
      <c r="AZ36" s="16"/>
      <c r="BA36" s="17">
        <f t="shared" si="2"/>
        <v>8</v>
      </c>
      <c r="BB36" s="29">
        <f>BA36*2000.00375</f>
        <v>16000.03</v>
      </c>
      <c r="BC36" s="24">
        <v>1666.67</v>
      </c>
      <c r="BD36" s="43">
        <f t="shared" si="4"/>
        <v>13333.36</v>
      </c>
      <c r="BE36" s="36">
        <f t="shared" si="3"/>
        <v>14400.028800000002</v>
      </c>
    </row>
    <row r="37" spans="1:57" ht="24.75" customHeight="1" x14ac:dyDescent="0.25">
      <c r="A37" s="5">
        <v>32</v>
      </c>
      <c r="B37" s="38">
        <v>78</v>
      </c>
      <c r="C37" s="5" t="s">
        <v>109</v>
      </c>
      <c r="D37" s="5" t="s">
        <v>110</v>
      </c>
      <c r="E37" s="15" t="s">
        <v>48</v>
      </c>
      <c r="F37" s="16"/>
      <c r="G37" s="16">
        <v>10</v>
      </c>
      <c r="H37" s="16"/>
      <c r="I37" s="16"/>
      <c r="J37" s="16"/>
      <c r="K37" s="16"/>
      <c r="L37" s="16"/>
      <c r="M37" s="16"/>
      <c r="N37" s="16"/>
      <c r="O37" s="16"/>
      <c r="P37" s="16"/>
      <c r="Q37" s="17">
        <v>2</v>
      </c>
      <c r="R37" s="16"/>
      <c r="S37" s="17">
        <v>2</v>
      </c>
      <c r="T37" s="16"/>
      <c r="U37" s="16"/>
      <c r="V37" s="16"/>
      <c r="W37" s="16"/>
      <c r="X37" s="16"/>
      <c r="Y37" s="17">
        <v>50</v>
      </c>
      <c r="Z37" s="16"/>
      <c r="AA37" s="16"/>
      <c r="AB37" s="17">
        <v>6</v>
      </c>
      <c r="AC37" s="16"/>
      <c r="AD37" s="16"/>
      <c r="AE37" s="16"/>
      <c r="AF37" s="16"/>
      <c r="AG37" s="16"/>
      <c r="AH37" s="16"/>
      <c r="AI37" s="16"/>
      <c r="AJ37" s="16"/>
      <c r="AK37" s="17">
        <v>6</v>
      </c>
      <c r="AL37" s="16"/>
      <c r="AM37" s="16"/>
      <c r="AN37" s="16"/>
      <c r="AO37" s="16"/>
      <c r="AP37" s="17">
        <v>2</v>
      </c>
      <c r="AQ37" s="16"/>
      <c r="AR37" s="16"/>
      <c r="AS37" s="16"/>
      <c r="AT37" s="16"/>
      <c r="AU37" s="16"/>
      <c r="AV37" s="16"/>
      <c r="AW37" s="16"/>
      <c r="AX37" s="16"/>
      <c r="AY37" s="16"/>
      <c r="AZ37" s="16"/>
      <c r="BA37" s="17">
        <f t="shared" si="2"/>
        <v>78</v>
      </c>
      <c r="BB37" s="29">
        <f>BA37*193.727941176471</f>
        <v>15110.779411764739</v>
      </c>
      <c r="BC37" s="24">
        <v>140.7425641025641</v>
      </c>
      <c r="BD37" s="43">
        <f t="shared" si="4"/>
        <v>10977.92</v>
      </c>
      <c r="BE37" s="36">
        <f t="shared" si="3"/>
        <v>11856.153600000001</v>
      </c>
    </row>
    <row r="38" spans="1:57" ht="24.75" customHeight="1" x14ac:dyDescent="0.25">
      <c r="A38" s="5">
        <v>33</v>
      </c>
      <c r="B38" s="38">
        <v>79</v>
      </c>
      <c r="C38" s="5" t="s">
        <v>111</v>
      </c>
      <c r="D38" s="5" t="s">
        <v>112</v>
      </c>
      <c r="E38" s="15" t="s">
        <v>48</v>
      </c>
      <c r="F38" s="16"/>
      <c r="G38" s="16"/>
      <c r="H38" s="16"/>
      <c r="I38" s="16"/>
      <c r="J38" s="16"/>
      <c r="K38" s="16"/>
      <c r="L38" s="16"/>
      <c r="M38" s="16"/>
      <c r="N38" s="16"/>
      <c r="O38" s="16"/>
      <c r="P38" s="16"/>
      <c r="Q38" s="16"/>
      <c r="R38" s="16"/>
      <c r="S38" s="17">
        <v>2</v>
      </c>
      <c r="T38" s="16"/>
      <c r="U38" s="16"/>
      <c r="V38" s="16"/>
      <c r="W38" s="17">
        <v>10</v>
      </c>
      <c r="X38" s="16"/>
      <c r="Y38" s="16"/>
      <c r="Z38" s="16"/>
      <c r="AA38" s="16"/>
      <c r="AB38" s="16"/>
      <c r="AC38" s="16"/>
      <c r="AD38" s="16"/>
      <c r="AE38" s="16"/>
      <c r="AF38" s="16"/>
      <c r="AG38" s="16"/>
      <c r="AH38" s="16"/>
      <c r="AI38" s="16"/>
      <c r="AJ38" s="16"/>
      <c r="AK38" s="16"/>
      <c r="AL38" s="16"/>
      <c r="AM38" s="16"/>
      <c r="AN38" s="16"/>
      <c r="AO38" s="16"/>
      <c r="AP38" s="16"/>
      <c r="AQ38" s="17">
        <v>2</v>
      </c>
      <c r="AR38" s="16"/>
      <c r="AS38" s="16"/>
      <c r="AT38" s="16"/>
      <c r="AU38" s="17">
        <v>2</v>
      </c>
      <c r="AV38" s="16"/>
      <c r="AW38" s="16"/>
      <c r="AX38" s="16"/>
      <c r="AY38" s="17">
        <v>4</v>
      </c>
      <c r="AZ38" s="17"/>
      <c r="BA38" s="17">
        <f t="shared" ref="BA38:BA69" si="5">SUM(F38:AZ38)</f>
        <v>20</v>
      </c>
      <c r="BB38" s="29">
        <f>BA38*350.016</f>
        <v>7000.3200000000006</v>
      </c>
      <c r="BC38" s="24">
        <v>291.68</v>
      </c>
      <c r="BD38" s="43">
        <f t="shared" si="4"/>
        <v>5833.6</v>
      </c>
      <c r="BE38" s="36">
        <f t="shared" si="3"/>
        <v>6300.2880000000005</v>
      </c>
    </row>
    <row r="39" spans="1:57" ht="24.75" customHeight="1" x14ac:dyDescent="0.25">
      <c r="A39" s="5">
        <v>34</v>
      </c>
      <c r="B39" s="38">
        <v>80</v>
      </c>
      <c r="C39" s="5" t="s">
        <v>113</v>
      </c>
      <c r="D39" s="5" t="s">
        <v>114</v>
      </c>
      <c r="E39" s="15" t="s">
        <v>48</v>
      </c>
      <c r="F39" s="16"/>
      <c r="G39" s="16"/>
      <c r="H39" s="16"/>
      <c r="I39" s="17">
        <v>15</v>
      </c>
      <c r="J39" s="16"/>
      <c r="K39" s="16"/>
      <c r="L39" s="16"/>
      <c r="M39" s="16"/>
      <c r="N39" s="16"/>
      <c r="O39" s="16"/>
      <c r="P39" s="16"/>
      <c r="Q39" s="16"/>
      <c r="R39" s="16"/>
      <c r="S39" s="17">
        <v>2</v>
      </c>
      <c r="T39" s="16"/>
      <c r="U39" s="16"/>
      <c r="V39" s="16"/>
      <c r="W39" s="16"/>
      <c r="X39" s="16"/>
      <c r="Y39" s="16"/>
      <c r="Z39" s="16"/>
      <c r="AA39" s="16"/>
      <c r="AB39" s="17">
        <v>6</v>
      </c>
      <c r="AC39" s="16"/>
      <c r="AD39" s="16"/>
      <c r="AE39" s="17">
        <v>6</v>
      </c>
      <c r="AF39" s="16"/>
      <c r="AG39" s="16"/>
      <c r="AH39" s="16"/>
      <c r="AI39" s="16"/>
      <c r="AJ39" s="16"/>
      <c r="AK39" s="16"/>
      <c r="AL39" s="16"/>
      <c r="AM39" s="16"/>
      <c r="AN39" s="16"/>
      <c r="AO39" s="16"/>
      <c r="AP39" s="16"/>
      <c r="AQ39" s="16"/>
      <c r="AR39" s="16"/>
      <c r="AS39" s="16"/>
      <c r="AT39" s="16"/>
      <c r="AU39" s="16"/>
      <c r="AV39" s="16"/>
      <c r="AW39" s="16"/>
      <c r="AX39" s="16"/>
      <c r="AY39" s="16"/>
      <c r="AZ39" s="16"/>
      <c r="BA39" s="17">
        <f t="shared" si="5"/>
        <v>29</v>
      </c>
      <c r="BB39" s="29">
        <f>BA39*193.727931034483</f>
        <v>5618.1100000000069</v>
      </c>
      <c r="BC39" s="24">
        <v>161.44</v>
      </c>
      <c r="BD39" s="43">
        <f t="shared" si="4"/>
        <v>4681.76</v>
      </c>
      <c r="BE39" s="36">
        <f t="shared" si="3"/>
        <v>5056.3008000000009</v>
      </c>
    </row>
    <row r="40" spans="1:57" ht="24.75" customHeight="1" x14ac:dyDescent="0.25">
      <c r="A40" s="5">
        <v>35</v>
      </c>
      <c r="B40" s="38">
        <v>81</v>
      </c>
      <c r="C40" s="5" t="s">
        <v>115</v>
      </c>
      <c r="D40" s="5" t="s">
        <v>116</v>
      </c>
      <c r="E40" s="15" t="s">
        <v>48</v>
      </c>
      <c r="F40" s="16"/>
      <c r="G40" s="16"/>
      <c r="H40" s="16"/>
      <c r="I40" s="17">
        <v>15</v>
      </c>
      <c r="J40" s="16"/>
      <c r="K40" s="16"/>
      <c r="L40" s="16"/>
      <c r="M40" s="16"/>
      <c r="N40" s="16"/>
      <c r="O40" s="16"/>
      <c r="P40" s="16"/>
      <c r="Q40" s="16"/>
      <c r="R40" s="16"/>
      <c r="S40" s="16"/>
      <c r="T40" s="17">
        <v>2</v>
      </c>
      <c r="U40" s="16"/>
      <c r="V40" s="16"/>
      <c r="W40" s="16"/>
      <c r="X40" s="16"/>
      <c r="Y40" s="17">
        <v>30</v>
      </c>
      <c r="Z40" s="16"/>
      <c r="AA40" s="17">
        <v>24</v>
      </c>
      <c r="AB40" s="16"/>
      <c r="AC40" s="16"/>
      <c r="AD40" s="16"/>
      <c r="AE40" s="17">
        <v>8</v>
      </c>
      <c r="AF40" s="16"/>
      <c r="AG40" s="16"/>
      <c r="AH40" s="16"/>
      <c r="AI40" s="16"/>
      <c r="AJ40" s="16"/>
      <c r="AK40" s="16"/>
      <c r="AL40" s="16"/>
      <c r="AM40" s="16"/>
      <c r="AN40" s="16"/>
      <c r="AO40" s="16"/>
      <c r="AP40" s="16"/>
      <c r="AQ40" s="17">
        <v>5</v>
      </c>
      <c r="AR40" s="16"/>
      <c r="AS40" s="16"/>
      <c r="AT40" s="16"/>
      <c r="AU40" s="16"/>
      <c r="AV40" s="16"/>
      <c r="AW40" s="16"/>
      <c r="AX40" s="16"/>
      <c r="AY40" s="16"/>
      <c r="AZ40" s="16"/>
      <c r="BA40" s="17">
        <f t="shared" si="5"/>
        <v>84</v>
      </c>
      <c r="BB40" s="29">
        <f>BA40*193.727976190476</f>
        <v>16273.149999999983</v>
      </c>
      <c r="BC40" s="24">
        <v>161.44</v>
      </c>
      <c r="BD40" s="43">
        <f t="shared" si="4"/>
        <v>13560.96</v>
      </c>
      <c r="BE40" s="36">
        <f t="shared" si="3"/>
        <v>14645.836799999999</v>
      </c>
    </row>
    <row r="41" spans="1:57" ht="24.75" customHeight="1" x14ac:dyDescent="0.25">
      <c r="A41" s="5">
        <v>36</v>
      </c>
      <c r="B41" s="38">
        <v>82</v>
      </c>
      <c r="C41" s="5" t="s">
        <v>117</v>
      </c>
      <c r="D41" s="5" t="s">
        <v>118</v>
      </c>
      <c r="E41" s="15" t="s">
        <v>48</v>
      </c>
      <c r="F41" s="16"/>
      <c r="G41" s="16"/>
      <c r="H41" s="16"/>
      <c r="I41" s="16"/>
      <c r="J41" s="16"/>
      <c r="K41" s="16"/>
      <c r="L41" s="16"/>
      <c r="M41" s="16"/>
      <c r="N41" s="16"/>
      <c r="O41" s="16"/>
      <c r="P41" s="16"/>
      <c r="Q41" s="16"/>
      <c r="R41" s="16"/>
      <c r="S41" s="16"/>
      <c r="T41" s="16"/>
      <c r="U41" s="16"/>
      <c r="V41" s="16"/>
      <c r="W41" s="17">
        <v>10</v>
      </c>
      <c r="X41" s="16"/>
      <c r="Y41" s="17">
        <v>3</v>
      </c>
      <c r="Z41" s="16"/>
      <c r="AA41" s="16"/>
      <c r="AB41" s="16"/>
      <c r="AC41" s="16"/>
      <c r="AD41" s="16"/>
      <c r="AE41" s="17">
        <v>1</v>
      </c>
      <c r="AF41" s="16"/>
      <c r="AG41" s="16"/>
      <c r="AH41" s="16"/>
      <c r="AI41" s="16"/>
      <c r="AJ41" s="16">
        <v>10</v>
      </c>
      <c r="AK41" s="16"/>
      <c r="AL41" s="17">
        <v>4</v>
      </c>
      <c r="AM41" s="16"/>
      <c r="AN41" s="16"/>
      <c r="AO41" s="16"/>
      <c r="AP41" s="16"/>
      <c r="AQ41" s="17">
        <v>5</v>
      </c>
      <c r="AR41" s="16"/>
      <c r="AS41" s="16"/>
      <c r="AT41" s="16"/>
      <c r="AU41" s="16"/>
      <c r="AV41" s="16"/>
      <c r="AW41" s="16"/>
      <c r="AX41" s="16"/>
      <c r="AY41" s="16"/>
      <c r="AZ41" s="16"/>
      <c r="BA41" s="17">
        <f t="shared" si="5"/>
        <v>33</v>
      </c>
      <c r="BB41" s="29">
        <f>BA41*193.727906976744</f>
        <v>6393.020930232552</v>
      </c>
      <c r="BC41" s="24">
        <v>161.44</v>
      </c>
      <c r="BD41" s="43">
        <f t="shared" si="4"/>
        <v>5327.52</v>
      </c>
      <c r="BE41" s="36">
        <f t="shared" si="3"/>
        <v>5753.7216000000008</v>
      </c>
    </row>
    <row r="42" spans="1:57" ht="24.75" customHeight="1" x14ac:dyDescent="0.25">
      <c r="A42" s="5">
        <v>37</v>
      </c>
      <c r="B42" s="38">
        <v>83</v>
      </c>
      <c r="C42" s="5" t="s">
        <v>119</v>
      </c>
      <c r="D42" s="5" t="s">
        <v>120</v>
      </c>
      <c r="E42" s="15" t="s">
        <v>48</v>
      </c>
      <c r="F42" s="16"/>
      <c r="G42" s="16">
        <v>6</v>
      </c>
      <c r="H42" s="16"/>
      <c r="I42" s="16"/>
      <c r="J42" s="16"/>
      <c r="K42" s="16"/>
      <c r="L42" s="16"/>
      <c r="M42" s="16"/>
      <c r="N42" s="16"/>
      <c r="O42" s="16"/>
      <c r="P42" s="16"/>
      <c r="Q42" s="16"/>
      <c r="R42" s="16"/>
      <c r="S42" s="16"/>
      <c r="T42" s="16"/>
      <c r="U42" s="16"/>
      <c r="V42" s="16"/>
      <c r="W42" s="17">
        <v>10</v>
      </c>
      <c r="X42" s="16"/>
      <c r="Y42" s="17">
        <v>2</v>
      </c>
      <c r="Z42" s="16"/>
      <c r="AA42" s="16"/>
      <c r="AB42" s="16"/>
      <c r="AC42" s="16"/>
      <c r="AD42" s="16"/>
      <c r="AE42" s="17">
        <v>2</v>
      </c>
      <c r="AF42" s="16"/>
      <c r="AG42" s="16"/>
      <c r="AH42" s="16"/>
      <c r="AI42" s="16"/>
      <c r="AJ42" s="16"/>
      <c r="AK42" s="16"/>
      <c r="AL42" s="16"/>
      <c r="AM42" s="16"/>
      <c r="AN42" s="16"/>
      <c r="AO42" s="16"/>
      <c r="AP42" s="17">
        <v>2</v>
      </c>
      <c r="AQ42" s="17">
        <v>5</v>
      </c>
      <c r="AR42" s="16"/>
      <c r="AS42" s="16"/>
      <c r="AT42" s="16"/>
      <c r="AU42" s="17">
        <v>4</v>
      </c>
      <c r="AV42" s="16"/>
      <c r="AW42" s="17">
        <v>4</v>
      </c>
      <c r="AX42" s="16"/>
      <c r="AY42" s="16"/>
      <c r="AZ42" s="16"/>
      <c r="BA42" s="17">
        <f t="shared" si="5"/>
        <v>35</v>
      </c>
      <c r="BB42" s="29">
        <f>BA42*193.727931034483</f>
        <v>6780.4775862069046</v>
      </c>
      <c r="BC42" s="24">
        <v>133.76457142857143</v>
      </c>
      <c r="BD42" s="43">
        <f t="shared" si="4"/>
        <v>4681.76</v>
      </c>
      <c r="BE42" s="36">
        <f t="shared" si="3"/>
        <v>5056.3008000000009</v>
      </c>
    </row>
    <row r="43" spans="1:57" ht="24.75" customHeight="1" x14ac:dyDescent="0.25">
      <c r="A43" s="5">
        <v>38</v>
      </c>
      <c r="B43" s="38">
        <v>85</v>
      </c>
      <c r="C43" s="5" t="s">
        <v>121</v>
      </c>
      <c r="D43" s="5" t="s">
        <v>122</v>
      </c>
      <c r="E43" s="15" t="s">
        <v>48</v>
      </c>
      <c r="F43" s="16"/>
      <c r="G43" s="16"/>
      <c r="H43" s="16"/>
      <c r="I43" s="17">
        <v>2</v>
      </c>
      <c r="J43" s="16"/>
      <c r="K43" s="16"/>
      <c r="L43" s="16"/>
      <c r="M43" s="16"/>
      <c r="N43" s="16"/>
      <c r="O43" s="16"/>
      <c r="P43" s="17">
        <v>2</v>
      </c>
      <c r="Q43" s="16"/>
      <c r="R43" s="16"/>
      <c r="S43" s="17">
        <v>2</v>
      </c>
      <c r="T43" s="17">
        <v>20</v>
      </c>
      <c r="U43" s="16"/>
      <c r="V43" s="16"/>
      <c r="W43" s="16"/>
      <c r="X43" s="16"/>
      <c r="Y43" s="17">
        <v>50</v>
      </c>
      <c r="Z43" s="16"/>
      <c r="AA43" s="16"/>
      <c r="AB43" s="16"/>
      <c r="AC43" s="16"/>
      <c r="AD43" s="16"/>
      <c r="AE43" s="16"/>
      <c r="AF43" s="16"/>
      <c r="AG43" s="16"/>
      <c r="AH43" s="16"/>
      <c r="AI43" s="16"/>
      <c r="AJ43" s="16"/>
      <c r="AK43" s="16"/>
      <c r="AL43" s="16"/>
      <c r="AM43" s="16"/>
      <c r="AN43" s="16"/>
      <c r="AO43" s="16"/>
      <c r="AP43" s="16"/>
      <c r="AQ43" s="16"/>
      <c r="AR43" s="16"/>
      <c r="AS43" s="16"/>
      <c r="AT43" s="17">
        <v>5</v>
      </c>
      <c r="AU43" s="16"/>
      <c r="AV43" s="16"/>
      <c r="AW43" s="17">
        <v>4</v>
      </c>
      <c r="AX43" s="16"/>
      <c r="AY43" s="16"/>
      <c r="AZ43" s="16"/>
      <c r="BA43" s="17">
        <f t="shared" si="5"/>
        <v>85</v>
      </c>
      <c r="BB43" s="29">
        <f>BA43*90</f>
        <v>7650</v>
      </c>
      <c r="BC43" s="24">
        <v>75</v>
      </c>
      <c r="BD43" s="43">
        <f t="shared" si="4"/>
        <v>6375</v>
      </c>
      <c r="BE43" s="36">
        <f t="shared" si="3"/>
        <v>6885</v>
      </c>
    </row>
    <row r="44" spans="1:57" ht="24.75" customHeight="1" x14ac:dyDescent="0.25">
      <c r="A44" s="5">
        <v>39</v>
      </c>
      <c r="B44" s="38">
        <v>86</v>
      </c>
      <c r="C44" s="5" t="s">
        <v>123</v>
      </c>
      <c r="D44" s="5" t="s">
        <v>124</v>
      </c>
      <c r="E44" s="15" t="s">
        <v>48</v>
      </c>
      <c r="F44" s="16"/>
      <c r="G44" s="16"/>
      <c r="H44" s="16"/>
      <c r="I44" s="17">
        <v>2</v>
      </c>
      <c r="J44" s="16"/>
      <c r="K44" s="16"/>
      <c r="L44" s="16"/>
      <c r="M44" s="16"/>
      <c r="N44" s="16"/>
      <c r="O44" s="16"/>
      <c r="P44" s="16"/>
      <c r="Q44" s="16"/>
      <c r="R44" s="16"/>
      <c r="S44" s="16"/>
      <c r="T44" s="16"/>
      <c r="U44" s="16"/>
      <c r="V44" s="16"/>
      <c r="W44" s="16"/>
      <c r="X44" s="16"/>
      <c r="Y44" s="16"/>
      <c r="Z44" s="16"/>
      <c r="AA44" s="16"/>
      <c r="AB44" s="16"/>
      <c r="AC44" s="16"/>
      <c r="AD44" s="16"/>
      <c r="AE44" s="17">
        <v>8</v>
      </c>
      <c r="AF44" s="16"/>
      <c r="AG44" s="16"/>
      <c r="AH44" s="16"/>
      <c r="AI44" s="16"/>
      <c r="AJ44" s="16"/>
      <c r="AK44" s="16"/>
      <c r="AL44" s="16"/>
      <c r="AM44" s="16"/>
      <c r="AN44" s="16"/>
      <c r="AO44" s="16"/>
      <c r="AP44" s="16"/>
      <c r="AQ44" s="17">
        <v>2</v>
      </c>
      <c r="AR44" s="16"/>
      <c r="AS44" s="16"/>
      <c r="AT44" s="17">
        <v>5</v>
      </c>
      <c r="AU44" s="17">
        <v>14</v>
      </c>
      <c r="AV44" s="16"/>
      <c r="AW44" s="16"/>
      <c r="AX44" s="16"/>
      <c r="AY44" s="16"/>
      <c r="AZ44" s="16"/>
      <c r="BA44" s="17">
        <f t="shared" si="5"/>
        <v>31</v>
      </c>
      <c r="BB44" s="29">
        <f>BA44*90</f>
        <v>2790</v>
      </c>
      <c r="BC44" s="24">
        <v>75</v>
      </c>
      <c r="BD44" s="43">
        <f t="shared" si="4"/>
        <v>2325</v>
      </c>
      <c r="BE44" s="36">
        <f t="shared" si="3"/>
        <v>2511</v>
      </c>
    </row>
    <row r="45" spans="1:57" ht="24.75" customHeight="1" x14ac:dyDescent="0.25">
      <c r="A45" s="5">
        <v>40</v>
      </c>
      <c r="B45" s="38">
        <v>87</v>
      </c>
      <c r="C45" s="5" t="s">
        <v>317</v>
      </c>
      <c r="D45" s="5" t="s">
        <v>318</v>
      </c>
      <c r="E45" s="15" t="s">
        <v>48</v>
      </c>
      <c r="F45" s="16"/>
      <c r="G45" s="16">
        <v>15</v>
      </c>
      <c r="H45" s="16"/>
      <c r="I45" s="17"/>
      <c r="J45" s="16"/>
      <c r="K45" s="16"/>
      <c r="L45" s="16"/>
      <c r="M45" s="16"/>
      <c r="N45" s="16"/>
      <c r="O45" s="16"/>
      <c r="P45" s="16"/>
      <c r="Q45" s="16"/>
      <c r="R45" s="16"/>
      <c r="S45" s="16"/>
      <c r="T45" s="16"/>
      <c r="U45" s="16"/>
      <c r="V45" s="16"/>
      <c r="W45" s="16"/>
      <c r="X45" s="16"/>
      <c r="Y45" s="16"/>
      <c r="Z45" s="16"/>
      <c r="AA45" s="16"/>
      <c r="AB45" s="16"/>
      <c r="AC45" s="16"/>
      <c r="AD45" s="16"/>
      <c r="AE45" s="17"/>
      <c r="AF45" s="16"/>
      <c r="AG45" s="16"/>
      <c r="AH45" s="16"/>
      <c r="AI45" s="16"/>
      <c r="AJ45" s="16"/>
      <c r="AK45" s="16"/>
      <c r="AL45" s="16"/>
      <c r="AM45" s="16"/>
      <c r="AN45" s="16"/>
      <c r="AO45" s="16"/>
      <c r="AP45" s="16"/>
      <c r="AQ45" s="17"/>
      <c r="AR45" s="16"/>
      <c r="AS45" s="16"/>
      <c r="AT45" s="17"/>
      <c r="AU45" s="17"/>
      <c r="AV45" s="16"/>
      <c r="AW45" s="16"/>
      <c r="AX45" s="16"/>
      <c r="AY45" s="16"/>
      <c r="AZ45" s="16"/>
      <c r="BA45" s="17">
        <f t="shared" si="5"/>
        <v>15</v>
      </c>
      <c r="BB45" s="29">
        <f>BA45*75</f>
        <v>1125</v>
      </c>
      <c r="BC45" s="24">
        <v>385</v>
      </c>
      <c r="BD45" s="43">
        <f t="shared" si="4"/>
        <v>5775</v>
      </c>
      <c r="BE45" s="36">
        <f t="shared" si="3"/>
        <v>6237</v>
      </c>
    </row>
    <row r="46" spans="1:57" ht="24.75" customHeight="1" x14ac:dyDescent="0.25">
      <c r="A46" s="5">
        <v>41</v>
      </c>
      <c r="B46" s="38">
        <v>88</v>
      </c>
      <c r="C46" s="5" t="s">
        <v>316</v>
      </c>
      <c r="D46" s="5" t="s">
        <v>315</v>
      </c>
      <c r="E46" s="15" t="s">
        <v>48</v>
      </c>
      <c r="F46" s="16"/>
      <c r="G46" s="16">
        <v>4</v>
      </c>
      <c r="H46" s="16"/>
      <c r="I46" s="17">
        <v>2</v>
      </c>
      <c r="J46" s="16"/>
      <c r="K46" s="16"/>
      <c r="L46" s="17">
        <v>65</v>
      </c>
      <c r="M46" s="16"/>
      <c r="N46" s="16"/>
      <c r="O46" s="16"/>
      <c r="P46" s="16"/>
      <c r="Q46" s="16"/>
      <c r="R46" s="17">
        <v>40</v>
      </c>
      <c r="S46" s="17">
        <v>2</v>
      </c>
      <c r="T46" s="17">
        <v>30</v>
      </c>
      <c r="U46" s="16"/>
      <c r="V46" s="16"/>
      <c r="W46" s="16"/>
      <c r="X46" s="16"/>
      <c r="Y46" s="16"/>
      <c r="Z46" s="16"/>
      <c r="AA46" s="17">
        <v>12</v>
      </c>
      <c r="AB46" s="16"/>
      <c r="AC46" s="16"/>
      <c r="AD46" s="16"/>
      <c r="AE46" s="16">
        <v>10</v>
      </c>
      <c r="AF46" s="17">
        <v>2</v>
      </c>
      <c r="AG46" s="16"/>
      <c r="AH46" s="16"/>
      <c r="AI46" s="16"/>
      <c r="AJ46" s="16">
        <v>10</v>
      </c>
      <c r="AK46" s="16"/>
      <c r="AL46" s="16"/>
      <c r="AM46" s="16"/>
      <c r="AN46" s="16"/>
      <c r="AO46" s="16"/>
      <c r="AP46" s="16"/>
      <c r="AQ46" s="17">
        <v>2</v>
      </c>
      <c r="AR46" s="16"/>
      <c r="AS46" s="16"/>
      <c r="AT46" s="17">
        <v>5</v>
      </c>
      <c r="AU46" s="16"/>
      <c r="AV46" s="17">
        <v>8</v>
      </c>
      <c r="AW46" s="17">
        <v>10</v>
      </c>
      <c r="AX46" s="16"/>
      <c r="AY46" s="17">
        <v>10</v>
      </c>
      <c r="AZ46" s="17"/>
      <c r="BA46" s="17">
        <f t="shared" si="5"/>
        <v>212</v>
      </c>
      <c r="BB46" s="29">
        <f>BA46*90</f>
        <v>19080</v>
      </c>
      <c r="BC46" s="24">
        <v>73.648648648648646</v>
      </c>
      <c r="BD46" s="43">
        <f t="shared" si="4"/>
        <v>15613.51</v>
      </c>
      <c r="BE46" s="36">
        <f t="shared" si="3"/>
        <v>16862.590800000002</v>
      </c>
    </row>
    <row r="47" spans="1:57" ht="24.75" customHeight="1" x14ac:dyDescent="0.25">
      <c r="A47" s="5">
        <v>42</v>
      </c>
      <c r="B47" s="38">
        <v>89</v>
      </c>
      <c r="C47" s="5" t="s">
        <v>125</v>
      </c>
      <c r="D47" s="5" t="s">
        <v>126</v>
      </c>
      <c r="E47" s="15" t="s">
        <v>48</v>
      </c>
      <c r="F47" s="16"/>
      <c r="G47" s="16"/>
      <c r="H47" s="16"/>
      <c r="I47" s="16"/>
      <c r="J47" s="16"/>
      <c r="K47" s="16"/>
      <c r="L47" s="16"/>
      <c r="M47" s="16"/>
      <c r="N47" s="16"/>
      <c r="O47" s="16"/>
      <c r="P47" s="16"/>
      <c r="Q47" s="16"/>
      <c r="R47" s="16"/>
      <c r="S47" s="16"/>
      <c r="T47" s="16"/>
      <c r="U47" s="16"/>
      <c r="V47" s="16"/>
      <c r="W47" s="16"/>
      <c r="X47" s="16"/>
      <c r="Y47" s="16"/>
      <c r="Z47" s="16"/>
      <c r="AA47" s="16"/>
      <c r="AB47" s="16">
        <v>10</v>
      </c>
      <c r="AC47" s="17">
        <v>4</v>
      </c>
      <c r="AD47" s="16"/>
      <c r="AE47" s="16"/>
      <c r="AF47" s="16"/>
      <c r="AG47" s="16"/>
      <c r="AH47" s="16"/>
      <c r="AI47" s="16"/>
      <c r="AJ47" s="16"/>
      <c r="AK47" s="16"/>
      <c r="AL47" s="16"/>
      <c r="AM47" s="16"/>
      <c r="AN47" s="16"/>
      <c r="AO47" s="16"/>
      <c r="AP47" s="16"/>
      <c r="AQ47" s="16"/>
      <c r="AR47" s="16"/>
      <c r="AS47" s="16"/>
      <c r="AT47" s="16"/>
      <c r="AU47" s="16"/>
      <c r="AV47" s="16"/>
      <c r="AW47" s="16"/>
      <c r="AX47" s="16"/>
      <c r="AY47" s="17">
        <v>1</v>
      </c>
      <c r="AZ47" s="17"/>
      <c r="BA47" s="17">
        <f t="shared" si="5"/>
        <v>15</v>
      </c>
      <c r="BB47" s="29">
        <f>BA47*900</f>
        <v>13500</v>
      </c>
      <c r="BC47" s="24">
        <v>750</v>
      </c>
      <c r="BD47" s="43">
        <f t="shared" si="4"/>
        <v>11250</v>
      </c>
      <c r="BE47" s="36">
        <f t="shared" si="3"/>
        <v>12150</v>
      </c>
    </row>
    <row r="48" spans="1:57" ht="24.75" customHeight="1" x14ac:dyDescent="0.25">
      <c r="A48" s="5">
        <v>43</v>
      </c>
      <c r="B48" s="38">
        <v>90</v>
      </c>
      <c r="C48" s="5" t="s">
        <v>127</v>
      </c>
      <c r="D48" s="6" t="s">
        <v>128</v>
      </c>
      <c r="E48" s="15" t="s">
        <v>48</v>
      </c>
      <c r="F48" s="16"/>
      <c r="G48" s="16"/>
      <c r="H48" s="16"/>
      <c r="I48" s="16"/>
      <c r="J48" s="16"/>
      <c r="K48" s="16"/>
      <c r="L48" s="16"/>
      <c r="M48" s="16"/>
      <c r="N48" s="16"/>
      <c r="O48" s="16"/>
      <c r="P48" s="16"/>
      <c r="Q48" s="16"/>
      <c r="R48" s="16"/>
      <c r="S48" s="16"/>
      <c r="T48" s="17">
        <v>200</v>
      </c>
      <c r="U48" s="16"/>
      <c r="V48" s="16"/>
      <c r="W48" s="16"/>
      <c r="X48" s="16"/>
      <c r="Y48" s="16"/>
      <c r="Z48" s="16"/>
      <c r="AA48" s="17">
        <v>10</v>
      </c>
      <c r="AB48" s="16"/>
      <c r="AC48" s="16"/>
      <c r="AD48" s="16"/>
      <c r="AE48" s="17">
        <v>5</v>
      </c>
      <c r="AF48" s="16"/>
      <c r="AG48" s="16"/>
      <c r="AH48" s="16"/>
      <c r="AI48" s="16"/>
      <c r="AJ48" s="16"/>
      <c r="AK48" s="16"/>
      <c r="AL48" s="16"/>
      <c r="AM48" s="16"/>
      <c r="AN48" s="16"/>
      <c r="AO48" s="16"/>
      <c r="AP48" s="16"/>
      <c r="AQ48" s="16"/>
      <c r="AR48" s="16"/>
      <c r="AS48" s="16"/>
      <c r="AT48" s="16"/>
      <c r="AU48" s="16"/>
      <c r="AV48" s="16"/>
      <c r="AW48" s="16"/>
      <c r="AX48" s="16"/>
      <c r="AY48" s="16"/>
      <c r="AZ48" s="16"/>
      <c r="BA48" s="17">
        <f t="shared" si="5"/>
        <v>215</v>
      </c>
      <c r="BB48" s="29">
        <f>BA48*135</f>
        <v>29025</v>
      </c>
      <c r="BC48" s="24">
        <v>112.5</v>
      </c>
      <c r="BD48" s="43">
        <f t="shared" si="4"/>
        <v>24187.5</v>
      </c>
      <c r="BE48" s="36">
        <f t="shared" si="3"/>
        <v>26122.5</v>
      </c>
    </row>
    <row r="49" spans="1:57" ht="24.75" customHeight="1" x14ac:dyDescent="0.25">
      <c r="A49" s="5">
        <v>44</v>
      </c>
      <c r="B49" s="38">
        <v>91</v>
      </c>
      <c r="C49" s="5" t="s">
        <v>129</v>
      </c>
      <c r="D49" s="5" t="s">
        <v>130</v>
      </c>
      <c r="E49" s="15" t="s">
        <v>48</v>
      </c>
      <c r="F49" s="16"/>
      <c r="G49" s="16"/>
      <c r="H49" s="16"/>
      <c r="I49" s="16"/>
      <c r="J49" s="16"/>
      <c r="K49" s="16"/>
      <c r="L49" s="16"/>
      <c r="M49" s="16"/>
      <c r="N49" s="16"/>
      <c r="O49" s="16"/>
      <c r="P49" s="16"/>
      <c r="Q49" s="16"/>
      <c r="R49" s="16"/>
      <c r="S49" s="16"/>
      <c r="T49" s="17">
        <v>600</v>
      </c>
      <c r="U49" s="16"/>
      <c r="V49" s="16"/>
      <c r="W49" s="16"/>
      <c r="X49" s="16"/>
      <c r="Y49" s="16"/>
      <c r="Z49" s="16"/>
      <c r="AA49" s="17">
        <v>10</v>
      </c>
      <c r="AB49" s="16">
        <v>50</v>
      </c>
      <c r="AC49" s="17">
        <v>10</v>
      </c>
      <c r="AD49" s="16"/>
      <c r="AE49" s="17">
        <v>10</v>
      </c>
      <c r="AF49" s="16"/>
      <c r="AG49" s="17">
        <v>20</v>
      </c>
      <c r="AH49" s="16"/>
      <c r="AI49" s="17">
        <v>5</v>
      </c>
      <c r="AJ49" s="16"/>
      <c r="AK49" s="16"/>
      <c r="AL49" s="16"/>
      <c r="AM49" s="16"/>
      <c r="AN49" s="17">
        <v>10</v>
      </c>
      <c r="AO49" s="16"/>
      <c r="AP49" s="16"/>
      <c r="AQ49" s="16"/>
      <c r="AR49" s="16"/>
      <c r="AS49" s="16"/>
      <c r="AT49" s="16"/>
      <c r="AU49" s="16"/>
      <c r="AV49" s="16"/>
      <c r="AW49" s="16"/>
      <c r="AX49" s="16"/>
      <c r="AY49" s="17">
        <v>5</v>
      </c>
      <c r="AZ49" s="17"/>
      <c r="BA49" s="17">
        <f t="shared" si="5"/>
        <v>720</v>
      </c>
      <c r="BB49" s="29">
        <f>BA49*210</f>
        <v>151200</v>
      </c>
      <c r="BC49" s="24">
        <v>175</v>
      </c>
      <c r="BD49" s="43">
        <f t="shared" si="4"/>
        <v>126000</v>
      </c>
      <c r="BE49" s="36">
        <f t="shared" si="3"/>
        <v>136080</v>
      </c>
    </row>
    <row r="50" spans="1:57" ht="24.75" customHeight="1" x14ac:dyDescent="0.25">
      <c r="A50" s="5">
        <v>45</v>
      </c>
      <c r="B50" s="38">
        <v>92</v>
      </c>
      <c r="C50" s="5" t="s">
        <v>131</v>
      </c>
      <c r="D50" s="5" t="s">
        <v>132</v>
      </c>
      <c r="E50" s="15" t="s">
        <v>48</v>
      </c>
      <c r="F50" s="16"/>
      <c r="G50" s="16"/>
      <c r="H50" s="16">
        <v>150</v>
      </c>
      <c r="I50" s="16"/>
      <c r="J50" s="16"/>
      <c r="K50" s="16"/>
      <c r="L50" s="16"/>
      <c r="M50" s="16"/>
      <c r="N50" s="16"/>
      <c r="O50" s="16"/>
      <c r="P50" s="16"/>
      <c r="Q50" s="16"/>
      <c r="R50" s="16"/>
      <c r="S50" s="16"/>
      <c r="T50" s="17">
        <v>200</v>
      </c>
      <c r="U50" s="16"/>
      <c r="V50" s="16"/>
      <c r="W50" s="16"/>
      <c r="X50" s="16"/>
      <c r="Y50" s="16"/>
      <c r="Z50" s="16"/>
      <c r="AA50" s="17">
        <v>10</v>
      </c>
      <c r="AB50" s="16">
        <v>20</v>
      </c>
      <c r="AC50" s="17">
        <v>10</v>
      </c>
      <c r="AD50" s="16"/>
      <c r="AE50" s="17">
        <v>10</v>
      </c>
      <c r="AF50" s="17">
        <v>4</v>
      </c>
      <c r="AG50" s="17">
        <v>20</v>
      </c>
      <c r="AH50" s="16"/>
      <c r="AI50" s="17">
        <v>5</v>
      </c>
      <c r="AJ50" s="16"/>
      <c r="AK50" s="16"/>
      <c r="AL50" s="16"/>
      <c r="AM50" s="16"/>
      <c r="AN50" s="17">
        <v>10</v>
      </c>
      <c r="AO50" s="16"/>
      <c r="AP50" s="16"/>
      <c r="AQ50" s="16"/>
      <c r="AR50" s="17">
        <v>1</v>
      </c>
      <c r="AS50" s="16"/>
      <c r="AT50" s="16"/>
      <c r="AU50" s="16"/>
      <c r="AV50" s="16"/>
      <c r="AW50" s="16"/>
      <c r="AX50" s="16"/>
      <c r="AY50" s="17">
        <v>5</v>
      </c>
      <c r="AZ50" s="17"/>
      <c r="BA50" s="17">
        <f t="shared" si="5"/>
        <v>445</v>
      </c>
      <c r="BB50" s="29">
        <f>BA50*210</f>
        <v>93450</v>
      </c>
      <c r="BC50" s="24">
        <v>175</v>
      </c>
      <c r="BD50" s="43">
        <f t="shared" si="4"/>
        <v>77875</v>
      </c>
      <c r="BE50" s="36">
        <f t="shared" si="3"/>
        <v>84105</v>
      </c>
    </row>
    <row r="51" spans="1:57" ht="24.75" customHeight="1" x14ac:dyDescent="0.25">
      <c r="A51" s="5">
        <v>46</v>
      </c>
      <c r="B51" s="38">
        <v>95</v>
      </c>
      <c r="C51" s="5" t="s">
        <v>133</v>
      </c>
      <c r="D51" s="5" t="s">
        <v>134</v>
      </c>
      <c r="E51" s="15" t="s">
        <v>48</v>
      </c>
      <c r="F51" s="16"/>
      <c r="G51" s="16"/>
      <c r="H51" s="16"/>
      <c r="I51" s="16"/>
      <c r="J51" s="16"/>
      <c r="K51" s="16"/>
      <c r="L51" s="16"/>
      <c r="M51" s="16"/>
      <c r="N51" s="16"/>
      <c r="O51" s="16"/>
      <c r="P51" s="16"/>
      <c r="Q51" s="16"/>
      <c r="R51" s="17">
        <v>2</v>
      </c>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7">
        <f t="shared" si="5"/>
        <v>2</v>
      </c>
      <c r="BB51" s="29">
        <f>BA51*14000.005</f>
        <v>28000.01</v>
      </c>
      <c r="BC51" s="24">
        <v>11666.674999999999</v>
      </c>
      <c r="BD51" s="43">
        <f t="shared" si="4"/>
        <v>23333.35</v>
      </c>
      <c r="BE51" s="36">
        <f t="shared" si="3"/>
        <v>25200.018</v>
      </c>
    </row>
    <row r="52" spans="1:57" ht="24.75" customHeight="1" x14ac:dyDescent="0.25">
      <c r="A52" s="5">
        <v>47</v>
      </c>
      <c r="B52" s="38">
        <v>96</v>
      </c>
      <c r="C52" s="5" t="s">
        <v>135</v>
      </c>
      <c r="D52" s="5" t="s">
        <v>136</v>
      </c>
      <c r="E52" s="15" t="s">
        <v>48</v>
      </c>
      <c r="F52" s="16"/>
      <c r="G52" s="16"/>
      <c r="H52" s="16"/>
      <c r="I52" s="16"/>
      <c r="J52" s="16"/>
      <c r="K52" s="16"/>
      <c r="L52" s="16"/>
      <c r="M52" s="16"/>
      <c r="N52" s="16"/>
      <c r="O52" s="16"/>
      <c r="P52" s="16"/>
      <c r="Q52" s="16"/>
      <c r="R52" s="16"/>
      <c r="S52" s="16"/>
      <c r="T52" s="17">
        <v>50</v>
      </c>
      <c r="U52" s="16"/>
      <c r="V52" s="16"/>
      <c r="W52" s="17">
        <v>2</v>
      </c>
      <c r="X52" s="16"/>
      <c r="Y52" s="16"/>
      <c r="Z52" s="16"/>
      <c r="AA52" s="17">
        <v>1</v>
      </c>
      <c r="AB52" s="16">
        <v>25</v>
      </c>
      <c r="AC52" s="17">
        <v>2</v>
      </c>
      <c r="AD52" s="16"/>
      <c r="AE52" s="16"/>
      <c r="AF52" s="16"/>
      <c r="AG52" s="16"/>
      <c r="AH52" s="16"/>
      <c r="AI52" s="17">
        <v>1</v>
      </c>
      <c r="AJ52" s="16"/>
      <c r="AK52" s="16"/>
      <c r="AL52" s="16"/>
      <c r="AM52" s="16"/>
      <c r="AN52" s="16"/>
      <c r="AO52" s="16"/>
      <c r="AP52" s="16"/>
      <c r="AQ52" s="16"/>
      <c r="AR52" s="16"/>
      <c r="AS52" s="16"/>
      <c r="AT52" s="16"/>
      <c r="AU52" s="16"/>
      <c r="AV52" s="16"/>
      <c r="AW52" s="16"/>
      <c r="AX52" s="16"/>
      <c r="AY52" s="16"/>
      <c r="AZ52" s="16"/>
      <c r="BA52" s="17">
        <f t="shared" si="5"/>
        <v>81</v>
      </c>
      <c r="BB52" s="29">
        <f>BA52*1300.00803571429</f>
        <v>105300.65089285748</v>
      </c>
      <c r="BC52" s="24">
        <v>1083.34012345679</v>
      </c>
      <c r="BD52" s="43">
        <f t="shared" si="4"/>
        <v>87750.55</v>
      </c>
      <c r="BE52" s="36">
        <f t="shared" si="3"/>
        <v>94770.594000000012</v>
      </c>
    </row>
    <row r="53" spans="1:57" ht="24.75" customHeight="1" x14ac:dyDescent="0.25">
      <c r="A53" s="5">
        <v>48</v>
      </c>
      <c r="B53" s="38">
        <v>97</v>
      </c>
      <c r="C53" s="5" t="s">
        <v>137</v>
      </c>
      <c r="D53" s="5" t="s">
        <v>138</v>
      </c>
      <c r="E53" s="15" t="s">
        <v>48</v>
      </c>
      <c r="F53" s="16"/>
      <c r="G53" s="16"/>
      <c r="H53" s="16"/>
      <c r="I53" s="16"/>
      <c r="J53" s="16"/>
      <c r="K53" s="16"/>
      <c r="L53" s="16"/>
      <c r="M53" s="16"/>
      <c r="N53" s="16"/>
      <c r="O53" s="16"/>
      <c r="P53" s="16"/>
      <c r="Q53" s="16"/>
      <c r="R53" s="16"/>
      <c r="S53" s="17">
        <v>5</v>
      </c>
      <c r="T53" s="16"/>
      <c r="U53" s="16"/>
      <c r="V53" s="16"/>
      <c r="W53" s="17">
        <v>5</v>
      </c>
      <c r="X53" s="16"/>
      <c r="Y53" s="16"/>
      <c r="Z53" s="16"/>
      <c r="AA53" s="16"/>
      <c r="AB53" s="16">
        <v>10</v>
      </c>
      <c r="AC53" s="17">
        <v>2</v>
      </c>
      <c r="AD53" s="16"/>
      <c r="AE53" s="16"/>
      <c r="AF53" s="16"/>
      <c r="AG53" s="17">
        <v>1</v>
      </c>
      <c r="AH53" s="16"/>
      <c r="AI53" s="17">
        <v>1</v>
      </c>
      <c r="AJ53" s="16"/>
      <c r="AK53" s="16"/>
      <c r="AL53" s="16"/>
      <c r="AM53" s="16"/>
      <c r="AN53" s="17">
        <v>2</v>
      </c>
      <c r="AO53" s="16"/>
      <c r="AP53" s="16"/>
      <c r="AQ53" s="16"/>
      <c r="AR53" s="16"/>
      <c r="AS53" s="16"/>
      <c r="AT53" s="16"/>
      <c r="AU53" s="16"/>
      <c r="AV53" s="16"/>
      <c r="AW53" s="16"/>
      <c r="AX53" s="16"/>
      <c r="AY53" s="16"/>
      <c r="AZ53" s="16"/>
      <c r="BA53" s="17">
        <f t="shared" si="5"/>
        <v>26</v>
      </c>
      <c r="BB53" s="29">
        <f>BA53*950.00375</f>
        <v>24700.0975</v>
      </c>
      <c r="BC53" s="24">
        <v>791.67</v>
      </c>
      <c r="BD53" s="43">
        <f t="shared" si="4"/>
        <v>20583.419999999998</v>
      </c>
      <c r="BE53" s="36">
        <f t="shared" si="3"/>
        <v>22230.0936</v>
      </c>
    </row>
    <row r="54" spans="1:57" ht="24.75" customHeight="1" x14ac:dyDescent="0.25">
      <c r="A54" s="5">
        <v>49</v>
      </c>
      <c r="B54" s="38">
        <v>98</v>
      </c>
      <c r="C54" s="5" t="s">
        <v>139</v>
      </c>
      <c r="D54" s="5" t="s">
        <v>140</v>
      </c>
      <c r="E54" s="15" t="s">
        <v>48</v>
      </c>
      <c r="F54" s="16"/>
      <c r="G54" s="16"/>
      <c r="H54" s="16"/>
      <c r="I54" s="16"/>
      <c r="J54" s="16"/>
      <c r="K54" s="16"/>
      <c r="L54" s="16"/>
      <c r="M54" s="16"/>
      <c r="N54" s="16"/>
      <c r="O54" s="16"/>
      <c r="P54" s="16"/>
      <c r="Q54" s="16"/>
      <c r="R54" s="16"/>
      <c r="S54" s="17">
        <v>2</v>
      </c>
      <c r="T54" s="16"/>
      <c r="U54" s="16"/>
      <c r="V54" s="16"/>
      <c r="W54" s="16"/>
      <c r="X54" s="16"/>
      <c r="Y54" s="16"/>
      <c r="Z54" s="16"/>
      <c r="AA54" s="17">
        <v>1</v>
      </c>
      <c r="AB54" s="16">
        <v>5</v>
      </c>
      <c r="AC54" s="17">
        <v>2</v>
      </c>
      <c r="AD54" s="16"/>
      <c r="AE54" s="16"/>
      <c r="AF54" s="16"/>
      <c r="AG54" s="17">
        <v>1</v>
      </c>
      <c r="AH54" s="16"/>
      <c r="AI54" s="16"/>
      <c r="AJ54" s="16"/>
      <c r="AK54" s="16"/>
      <c r="AL54" s="16"/>
      <c r="AM54" s="16"/>
      <c r="AN54" s="17">
        <v>2</v>
      </c>
      <c r="AO54" s="16"/>
      <c r="AP54" s="17">
        <v>1</v>
      </c>
      <c r="AQ54" s="16"/>
      <c r="AR54" s="16"/>
      <c r="AS54" s="16"/>
      <c r="AT54" s="16"/>
      <c r="AU54" s="16"/>
      <c r="AV54" s="16"/>
      <c r="AW54" s="16"/>
      <c r="AX54" s="16"/>
      <c r="AY54" s="16"/>
      <c r="AZ54" s="16"/>
      <c r="BA54" s="17">
        <f t="shared" si="5"/>
        <v>14</v>
      </c>
      <c r="BB54" s="29">
        <f>BA54*2500.00777777778</f>
        <v>35000.108888888921</v>
      </c>
      <c r="BC54" s="24">
        <v>2083.3399999999997</v>
      </c>
      <c r="BD54" s="43">
        <f t="shared" si="4"/>
        <v>29166.76</v>
      </c>
      <c r="BE54" s="36">
        <f t="shared" si="3"/>
        <v>31500.1008</v>
      </c>
    </row>
    <row r="55" spans="1:57" ht="24.75" customHeight="1" x14ac:dyDescent="0.25">
      <c r="A55" s="5">
        <v>50</v>
      </c>
      <c r="B55" s="38">
        <v>99</v>
      </c>
      <c r="C55" s="5" t="s">
        <v>141</v>
      </c>
      <c r="D55" s="5" t="s">
        <v>142</v>
      </c>
      <c r="E55" s="15" t="s">
        <v>48</v>
      </c>
      <c r="F55" s="16"/>
      <c r="G55" s="16"/>
      <c r="H55" s="16"/>
      <c r="I55" s="16"/>
      <c r="J55" s="16"/>
      <c r="K55" s="16"/>
      <c r="L55" s="16"/>
      <c r="M55" s="16"/>
      <c r="N55" s="16"/>
      <c r="O55" s="16"/>
      <c r="P55" s="16"/>
      <c r="Q55" s="16"/>
      <c r="R55" s="16"/>
      <c r="S55" s="17">
        <v>1</v>
      </c>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7">
        <f t="shared" si="5"/>
        <v>1</v>
      </c>
      <c r="BB55" s="29">
        <f>BA55*6000</f>
        <v>6000</v>
      </c>
      <c r="BC55" s="24">
        <v>5000</v>
      </c>
      <c r="BD55" s="43">
        <f t="shared" si="4"/>
        <v>5000</v>
      </c>
      <c r="BE55" s="36">
        <f t="shared" si="3"/>
        <v>5400</v>
      </c>
    </row>
    <row r="56" spans="1:57" ht="24.75" customHeight="1" x14ac:dyDescent="0.25">
      <c r="A56" s="5">
        <v>51</v>
      </c>
      <c r="B56" s="38">
        <v>105</v>
      </c>
      <c r="C56" s="5" t="s">
        <v>143</v>
      </c>
      <c r="D56" s="5" t="s">
        <v>144</v>
      </c>
      <c r="E56" s="15" t="s">
        <v>48</v>
      </c>
      <c r="F56" s="16"/>
      <c r="G56" s="16"/>
      <c r="H56" s="16"/>
      <c r="I56" s="16"/>
      <c r="J56" s="16"/>
      <c r="K56" s="16"/>
      <c r="L56" s="16"/>
      <c r="M56" s="16"/>
      <c r="N56" s="16"/>
      <c r="O56" s="16"/>
      <c r="P56" s="16"/>
      <c r="Q56" s="16"/>
      <c r="R56" s="16"/>
      <c r="S56" s="16"/>
      <c r="T56" s="17">
        <v>20</v>
      </c>
      <c r="U56" s="16"/>
      <c r="V56" s="16"/>
      <c r="W56" s="16"/>
      <c r="X56" s="16"/>
      <c r="Y56" s="16"/>
      <c r="Z56" s="16"/>
      <c r="AA56" s="17">
        <v>10</v>
      </c>
      <c r="AB56" s="16"/>
      <c r="AC56" s="17">
        <v>8</v>
      </c>
      <c r="AD56" s="16"/>
      <c r="AE56" s="16"/>
      <c r="AF56" s="16"/>
      <c r="AG56" s="16"/>
      <c r="AH56" s="16"/>
      <c r="AI56" s="16"/>
      <c r="AJ56" s="16"/>
      <c r="AK56" s="16"/>
      <c r="AL56" s="16"/>
      <c r="AM56" s="16"/>
      <c r="AN56" s="16"/>
      <c r="AO56" s="16"/>
      <c r="AP56" s="16"/>
      <c r="AQ56" s="16"/>
      <c r="AR56" s="16"/>
      <c r="AS56" s="16"/>
      <c r="AT56" s="16"/>
      <c r="AU56" s="16"/>
      <c r="AV56" s="17">
        <v>5</v>
      </c>
      <c r="AW56" s="16"/>
      <c r="AX56" s="16"/>
      <c r="AY56" s="16"/>
      <c r="AZ56" s="16"/>
      <c r="BA56" s="17">
        <f t="shared" si="5"/>
        <v>43</v>
      </c>
      <c r="BB56" s="29">
        <f>BA56*180</f>
        <v>7740</v>
      </c>
      <c r="BC56" s="24">
        <v>150</v>
      </c>
      <c r="BD56" s="43">
        <f t="shared" si="4"/>
        <v>6450</v>
      </c>
      <c r="BE56" s="36">
        <f t="shared" si="3"/>
        <v>6966.0000000000009</v>
      </c>
    </row>
    <row r="57" spans="1:57" ht="24.75" customHeight="1" x14ac:dyDescent="0.25">
      <c r="A57" s="5">
        <v>52</v>
      </c>
      <c r="B57" s="38">
        <v>108</v>
      </c>
      <c r="C57" s="5" t="s">
        <v>145</v>
      </c>
      <c r="D57" s="5" t="s">
        <v>146</v>
      </c>
      <c r="E57" s="15" t="s">
        <v>48</v>
      </c>
      <c r="F57" s="16"/>
      <c r="G57" s="16"/>
      <c r="H57" s="16"/>
      <c r="I57" s="16"/>
      <c r="J57" s="16"/>
      <c r="K57" s="16"/>
      <c r="L57" s="16"/>
      <c r="M57" s="16"/>
      <c r="N57" s="16"/>
      <c r="O57" s="16"/>
      <c r="P57" s="16"/>
      <c r="Q57" s="16"/>
      <c r="R57" s="16"/>
      <c r="S57" s="16"/>
      <c r="T57" s="16"/>
      <c r="U57" s="16"/>
      <c r="V57" s="16"/>
      <c r="W57" s="17">
        <v>100</v>
      </c>
      <c r="X57" s="16"/>
      <c r="Y57" s="16"/>
      <c r="Z57" s="16"/>
      <c r="AA57" s="16"/>
      <c r="AB57" s="17">
        <v>50</v>
      </c>
      <c r="AC57" s="17">
        <v>6</v>
      </c>
      <c r="AD57" s="17">
        <v>1</v>
      </c>
      <c r="AE57" s="16"/>
      <c r="AF57" s="17">
        <v>8</v>
      </c>
      <c r="AG57" s="16"/>
      <c r="AH57" s="16"/>
      <c r="AI57" s="17">
        <v>10</v>
      </c>
      <c r="AJ57" s="16"/>
      <c r="AK57" s="16"/>
      <c r="AL57" s="16"/>
      <c r="AM57" s="16"/>
      <c r="AN57" s="16"/>
      <c r="AO57" s="16"/>
      <c r="AP57" s="16"/>
      <c r="AQ57" s="16"/>
      <c r="AR57" s="16"/>
      <c r="AS57" s="16"/>
      <c r="AT57" s="16"/>
      <c r="AU57" s="16"/>
      <c r="AV57" s="16"/>
      <c r="AW57" s="16"/>
      <c r="AX57" s="16"/>
      <c r="AY57" s="16"/>
      <c r="AZ57" s="16"/>
      <c r="BA57" s="17">
        <f t="shared" si="5"/>
        <v>175</v>
      </c>
      <c r="BB57" s="29">
        <f>BA57*111.804</f>
        <v>19565.7</v>
      </c>
      <c r="BC57" s="24">
        <v>93.17</v>
      </c>
      <c r="BD57" s="43">
        <f t="shared" si="4"/>
        <v>16304.75</v>
      </c>
      <c r="BE57" s="36">
        <f t="shared" si="3"/>
        <v>17609.13</v>
      </c>
    </row>
    <row r="58" spans="1:57" ht="24.75" customHeight="1" x14ac:dyDescent="0.25">
      <c r="A58" s="5">
        <v>53</v>
      </c>
      <c r="B58" s="39">
        <v>110</v>
      </c>
      <c r="C58" s="5" t="s">
        <v>147</v>
      </c>
      <c r="D58" s="5" t="s">
        <v>148</v>
      </c>
      <c r="E58" s="15" t="s">
        <v>48</v>
      </c>
      <c r="F58" s="16"/>
      <c r="G58" s="16"/>
      <c r="H58" s="17">
        <v>25</v>
      </c>
      <c r="I58" s="16"/>
      <c r="J58" s="16"/>
      <c r="K58" s="16"/>
      <c r="L58" s="16"/>
      <c r="M58" s="16"/>
      <c r="N58" s="16"/>
      <c r="O58" s="16"/>
      <c r="P58" s="16"/>
      <c r="Q58" s="16"/>
      <c r="R58" s="17">
        <v>100</v>
      </c>
      <c r="S58" s="17">
        <v>2</v>
      </c>
      <c r="T58" s="16"/>
      <c r="U58" s="16"/>
      <c r="V58" s="16"/>
      <c r="W58" s="17">
        <v>50</v>
      </c>
      <c r="X58" s="17">
        <v>3</v>
      </c>
      <c r="Y58" s="17">
        <v>30</v>
      </c>
      <c r="Z58" s="16"/>
      <c r="AA58" s="16"/>
      <c r="AB58" s="16"/>
      <c r="AC58" s="16"/>
      <c r="AD58" s="17">
        <v>1</v>
      </c>
      <c r="AE58" s="16"/>
      <c r="AF58" s="17">
        <v>8</v>
      </c>
      <c r="AG58" s="16"/>
      <c r="AH58" s="16"/>
      <c r="AI58" s="16"/>
      <c r="AJ58" s="16"/>
      <c r="AK58" s="17">
        <v>23</v>
      </c>
      <c r="AL58" s="16"/>
      <c r="AM58" s="16"/>
      <c r="AN58" s="16"/>
      <c r="AO58" s="16"/>
      <c r="AP58" s="16"/>
      <c r="AQ58" s="16"/>
      <c r="AR58" s="17">
        <v>10</v>
      </c>
      <c r="AS58" s="16"/>
      <c r="AT58" s="16"/>
      <c r="AU58" s="16"/>
      <c r="AV58" s="16"/>
      <c r="AW58" s="16"/>
      <c r="AX58" s="16"/>
      <c r="AY58" s="16"/>
      <c r="AZ58" s="16"/>
      <c r="BA58" s="17">
        <f t="shared" si="5"/>
        <v>252</v>
      </c>
      <c r="BB58" s="29">
        <f>BA58*129.191984126984</f>
        <v>32556.379999999972</v>
      </c>
      <c r="BC58" s="24">
        <v>107.66</v>
      </c>
      <c r="BD58" s="43">
        <f t="shared" si="4"/>
        <v>27130.32</v>
      </c>
      <c r="BE58" s="36">
        <f t="shared" si="3"/>
        <v>29300.745600000002</v>
      </c>
    </row>
    <row r="59" spans="1:57" ht="24.75" customHeight="1" x14ac:dyDescent="0.25">
      <c r="A59" s="5">
        <v>54</v>
      </c>
      <c r="B59" s="38">
        <v>111</v>
      </c>
      <c r="C59" s="5" t="s">
        <v>149</v>
      </c>
      <c r="D59" s="5" t="s">
        <v>150</v>
      </c>
      <c r="E59" s="15" t="s">
        <v>48</v>
      </c>
      <c r="F59" s="16"/>
      <c r="G59" s="16"/>
      <c r="H59" s="16"/>
      <c r="I59" s="16"/>
      <c r="J59" s="16"/>
      <c r="K59" s="16"/>
      <c r="L59" s="16"/>
      <c r="M59" s="16"/>
      <c r="N59" s="16"/>
      <c r="O59" s="16"/>
      <c r="P59" s="16"/>
      <c r="Q59" s="16"/>
      <c r="R59" s="16"/>
      <c r="S59" s="17">
        <v>2</v>
      </c>
      <c r="T59" s="16"/>
      <c r="U59" s="16"/>
      <c r="V59" s="16"/>
      <c r="W59" s="16"/>
      <c r="X59" s="16"/>
      <c r="Y59" s="16"/>
      <c r="Z59" s="16"/>
      <c r="AA59" s="16"/>
      <c r="AB59" s="17">
        <v>20</v>
      </c>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7">
        <f t="shared" si="5"/>
        <v>22</v>
      </c>
      <c r="BB59" s="29">
        <f>BA59*173.915909090909</f>
        <v>3826.1499999999978</v>
      </c>
      <c r="BC59" s="24">
        <v>144.93</v>
      </c>
      <c r="BD59" s="43">
        <f t="shared" si="4"/>
        <v>3188.46</v>
      </c>
      <c r="BE59" s="36">
        <f t="shared" si="3"/>
        <v>3443.5368000000003</v>
      </c>
    </row>
    <row r="60" spans="1:57" ht="24.75" customHeight="1" x14ac:dyDescent="0.25">
      <c r="A60" s="5">
        <v>55</v>
      </c>
      <c r="B60" s="38">
        <v>116</v>
      </c>
      <c r="C60" s="5" t="s">
        <v>151</v>
      </c>
      <c r="D60" s="5" t="s">
        <v>152</v>
      </c>
      <c r="E60" s="15" t="s">
        <v>48</v>
      </c>
      <c r="F60" s="16"/>
      <c r="G60" s="16"/>
      <c r="H60" s="16"/>
      <c r="I60" s="16"/>
      <c r="J60" s="16"/>
      <c r="K60" s="16"/>
      <c r="L60" s="16"/>
      <c r="M60" s="16"/>
      <c r="N60" s="16"/>
      <c r="O60" s="16"/>
      <c r="P60" s="16"/>
      <c r="Q60" s="16"/>
      <c r="R60" s="16"/>
      <c r="S60" s="16"/>
      <c r="T60" s="16"/>
      <c r="U60" s="16"/>
      <c r="V60" s="16"/>
      <c r="W60" s="17">
        <v>10</v>
      </c>
      <c r="X60" s="16"/>
      <c r="Y60" s="16"/>
      <c r="Z60" s="16"/>
      <c r="AA60" s="16"/>
      <c r="AB60" s="16"/>
      <c r="AC60" s="16"/>
      <c r="AD60" s="16"/>
      <c r="AE60" s="16"/>
      <c r="AF60" s="17">
        <v>8</v>
      </c>
      <c r="AG60" s="16"/>
      <c r="AH60" s="16"/>
      <c r="AI60" s="16"/>
      <c r="AJ60" s="16"/>
      <c r="AK60" s="16"/>
      <c r="AL60" s="16"/>
      <c r="AM60" s="17">
        <v>5</v>
      </c>
      <c r="AN60" s="16"/>
      <c r="AO60" s="16"/>
      <c r="AP60" s="16"/>
      <c r="AQ60" s="16"/>
      <c r="AR60" s="16"/>
      <c r="AS60" s="16"/>
      <c r="AT60" s="16"/>
      <c r="AU60" s="16"/>
      <c r="AV60" s="16"/>
      <c r="AW60" s="17">
        <v>5</v>
      </c>
      <c r="AX60" s="17">
        <v>6</v>
      </c>
      <c r="AY60" s="16"/>
      <c r="AZ60" s="16"/>
      <c r="BA60" s="17">
        <f t="shared" si="5"/>
        <v>34</v>
      </c>
      <c r="BB60" s="29">
        <f>BA60*74</f>
        <v>2516</v>
      </c>
      <c r="BC60" s="24">
        <v>61.666764705882358</v>
      </c>
      <c r="BD60" s="43">
        <f t="shared" si="4"/>
        <v>2096.67</v>
      </c>
      <c r="BE60" s="36">
        <f t="shared" si="3"/>
        <v>2264.4036000000001</v>
      </c>
    </row>
    <row r="61" spans="1:57" ht="24.75" customHeight="1" x14ac:dyDescent="0.25">
      <c r="A61" s="5">
        <v>56</v>
      </c>
      <c r="B61" s="38">
        <v>118</v>
      </c>
      <c r="C61" s="5" t="s">
        <v>153</v>
      </c>
      <c r="D61" s="5" t="s">
        <v>154</v>
      </c>
      <c r="E61" s="15" t="s">
        <v>48</v>
      </c>
      <c r="F61" s="16"/>
      <c r="G61" s="16"/>
      <c r="H61" s="17">
        <v>10</v>
      </c>
      <c r="I61" s="16"/>
      <c r="J61" s="16"/>
      <c r="K61" s="16"/>
      <c r="L61" s="16"/>
      <c r="M61" s="17">
        <v>1</v>
      </c>
      <c r="N61" s="16"/>
      <c r="O61" s="16"/>
      <c r="P61" s="16"/>
      <c r="Q61" s="16"/>
      <c r="R61" s="17">
        <v>20</v>
      </c>
      <c r="S61" s="17">
        <v>2</v>
      </c>
      <c r="T61" s="17">
        <v>20</v>
      </c>
      <c r="U61" s="16"/>
      <c r="V61" s="17">
        <v>5</v>
      </c>
      <c r="W61" s="17">
        <v>130</v>
      </c>
      <c r="X61" s="17">
        <v>5</v>
      </c>
      <c r="Y61" s="16"/>
      <c r="Z61" s="16"/>
      <c r="AA61" s="16"/>
      <c r="AB61" s="16"/>
      <c r="AC61" s="17">
        <v>5</v>
      </c>
      <c r="AD61" s="16"/>
      <c r="AE61" s="17">
        <v>10</v>
      </c>
      <c r="AF61" s="17">
        <v>8</v>
      </c>
      <c r="AG61" s="16"/>
      <c r="AH61" s="17">
        <v>10</v>
      </c>
      <c r="AI61" s="16"/>
      <c r="AJ61" s="17"/>
      <c r="AK61" s="17">
        <v>15</v>
      </c>
      <c r="AL61" s="17">
        <v>10</v>
      </c>
      <c r="AM61" s="16"/>
      <c r="AN61" s="17">
        <v>10</v>
      </c>
      <c r="AO61" s="16"/>
      <c r="AP61" s="16"/>
      <c r="AQ61" s="17">
        <v>1</v>
      </c>
      <c r="AR61" s="17">
        <v>10</v>
      </c>
      <c r="AS61" s="16"/>
      <c r="AT61" s="17">
        <v>6</v>
      </c>
      <c r="AU61" s="16"/>
      <c r="AV61" s="17">
        <v>2</v>
      </c>
      <c r="AW61" s="17">
        <v>30</v>
      </c>
      <c r="AX61" s="16"/>
      <c r="AY61" s="16"/>
      <c r="AZ61" s="16"/>
      <c r="BA61" s="17">
        <f t="shared" si="5"/>
        <v>310</v>
      </c>
      <c r="BB61" s="29">
        <f>BA61*91.932</f>
        <v>28498.920000000002</v>
      </c>
      <c r="BC61" s="24">
        <v>76.61</v>
      </c>
      <c r="BD61" s="43">
        <f t="shared" si="4"/>
        <v>23749.1</v>
      </c>
      <c r="BE61" s="36">
        <f t="shared" si="3"/>
        <v>25649.027999999998</v>
      </c>
    </row>
    <row r="62" spans="1:57" ht="24.75" customHeight="1" x14ac:dyDescent="0.25">
      <c r="A62" s="5">
        <v>57</v>
      </c>
      <c r="B62" s="38">
        <v>122</v>
      </c>
      <c r="C62" s="5" t="s">
        <v>155</v>
      </c>
      <c r="D62" s="5" t="s">
        <v>156</v>
      </c>
      <c r="E62" s="15" t="s">
        <v>48</v>
      </c>
      <c r="F62" s="16"/>
      <c r="G62" s="16"/>
      <c r="H62" s="16"/>
      <c r="I62" s="16"/>
      <c r="J62" s="16"/>
      <c r="K62" s="16"/>
      <c r="L62" s="16"/>
      <c r="M62" s="16"/>
      <c r="N62" s="16"/>
      <c r="O62" s="16"/>
      <c r="P62" s="16"/>
      <c r="Q62" s="16"/>
      <c r="R62" s="16"/>
      <c r="S62" s="16"/>
      <c r="T62" s="17">
        <v>30</v>
      </c>
      <c r="U62" s="16"/>
      <c r="V62" s="16"/>
      <c r="W62" s="16"/>
      <c r="X62" s="16"/>
      <c r="Y62" s="16"/>
      <c r="Z62" s="16"/>
      <c r="AA62" s="16"/>
      <c r="AB62" s="16"/>
      <c r="AC62" s="16"/>
      <c r="AD62" s="16"/>
      <c r="AE62" s="17">
        <v>5</v>
      </c>
      <c r="AF62" s="16"/>
      <c r="AG62" s="16"/>
      <c r="AH62" s="17">
        <v>10</v>
      </c>
      <c r="AI62" s="16"/>
      <c r="AJ62" s="16"/>
      <c r="AK62" s="16"/>
      <c r="AL62" s="16"/>
      <c r="AM62" s="16"/>
      <c r="AN62" s="16"/>
      <c r="AO62" s="16"/>
      <c r="AP62" s="16"/>
      <c r="AQ62" s="16"/>
      <c r="AR62" s="16"/>
      <c r="AS62" s="16"/>
      <c r="AT62" s="16"/>
      <c r="AU62" s="16"/>
      <c r="AV62" s="17">
        <v>10</v>
      </c>
      <c r="AW62" s="16"/>
      <c r="AX62" s="16"/>
      <c r="AY62" s="16"/>
      <c r="AZ62" s="16"/>
      <c r="BA62" s="17">
        <f t="shared" si="5"/>
        <v>55</v>
      </c>
      <c r="BB62" s="29">
        <f>BA62*146.58</f>
        <v>8061.9000000000005</v>
      </c>
      <c r="BC62" s="24">
        <v>122.15</v>
      </c>
      <c r="BD62" s="43">
        <f t="shared" si="4"/>
        <v>6718.25</v>
      </c>
      <c r="BE62" s="36">
        <f t="shared" si="3"/>
        <v>7255.71</v>
      </c>
    </row>
    <row r="63" spans="1:57" ht="24.75" customHeight="1" x14ac:dyDescent="0.25">
      <c r="A63" s="5">
        <v>58</v>
      </c>
      <c r="B63" s="38">
        <v>124</v>
      </c>
      <c r="C63" s="5" t="s">
        <v>157</v>
      </c>
      <c r="D63" s="5" t="s">
        <v>158</v>
      </c>
      <c r="E63" s="15" t="s">
        <v>48</v>
      </c>
      <c r="F63" s="16"/>
      <c r="G63" s="16"/>
      <c r="H63" s="16"/>
      <c r="I63" s="16"/>
      <c r="J63" s="16"/>
      <c r="K63" s="16"/>
      <c r="L63" s="16"/>
      <c r="M63" s="16"/>
      <c r="N63" s="16"/>
      <c r="O63" s="16"/>
      <c r="P63" s="16"/>
      <c r="Q63" s="16"/>
      <c r="R63" s="17">
        <v>20</v>
      </c>
      <c r="S63" s="17">
        <v>2</v>
      </c>
      <c r="T63" s="16"/>
      <c r="U63" s="16"/>
      <c r="V63" s="16"/>
      <c r="W63" s="16"/>
      <c r="X63" s="16"/>
      <c r="Y63" s="16"/>
      <c r="Z63" s="16"/>
      <c r="AA63" s="16"/>
      <c r="AB63" s="17">
        <v>20</v>
      </c>
      <c r="AC63" s="16"/>
      <c r="AD63" s="16"/>
      <c r="AE63" s="16"/>
      <c r="AF63" s="17">
        <v>2</v>
      </c>
      <c r="AG63" s="16"/>
      <c r="AH63" s="16"/>
      <c r="AI63" s="16"/>
      <c r="AJ63" s="16"/>
      <c r="AK63" s="16"/>
      <c r="AL63" s="16"/>
      <c r="AM63" s="16"/>
      <c r="AN63" s="17">
        <v>10</v>
      </c>
      <c r="AO63" s="16"/>
      <c r="AP63" s="16"/>
      <c r="AQ63" s="16"/>
      <c r="AR63" s="16"/>
      <c r="AS63" s="16"/>
      <c r="AT63" s="16"/>
      <c r="AU63" s="16"/>
      <c r="AV63" s="16"/>
      <c r="AW63" s="17">
        <v>10</v>
      </c>
      <c r="AX63" s="16"/>
      <c r="AY63" s="16"/>
      <c r="AZ63" s="16"/>
      <c r="BA63" s="17">
        <f t="shared" si="5"/>
        <v>64</v>
      </c>
      <c r="BB63" s="29">
        <f>BA63*173.9159375</f>
        <v>11130.62</v>
      </c>
      <c r="BC63" s="24">
        <v>144.93</v>
      </c>
      <c r="BD63" s="43">
        <f t="shared" si="4"/>
        <v>9275.52</v>
      </c>
      <c r="BE63" s="36">
        <f t="shared" si="3"/>
        <v>10017.561600000001</v>
      </c>
    </row>
    <row r="64" spans="1:57" ht="24.75" customHeight="1" x14ac:dyDescent="0.25">
      <c r="A64" s="5">
        <v>59</v>
      </c>
      <c r="B64" s="38">
        <v>129</v>
      </c>
      <c r="C64" s="5" t="s">
        <v>159</v>
      </c>
      <c r="D64" s="5" t="s">
        <v>160</v>
      </c>
      <c r="E64" s="15" t="s">
        <v>48</v>
      </c>
      <c r="F64" s="16"/>
      <c r="G64" s="16"/>
      <c r="H64" s="16"/>
      <c r="I64" s="16"/>
      <c r="J64" s="16"/>
      <c r="K64" s="16"/>
      <c r="L64" s="16"/>
      <c r="M64" s="16"/>
      <c r="N64" s="16"/>
      <c r="O64" s="16"/>
      <c r="P64" s="16"/>
      <c r="Q64" s="16"/>
      <c r="R64" s="16"/>
      <c r="S64" s="17">
        <v>1</v>
      </c>
      <c r="T64" s="17">
        <v>4</v>
      </c>
      <c r="U64" s="16"/>
      <c r="V64" s="16"/>
      <c r="W64" s="16"/>
      <c r="X64" s="16"/>
      <c r="Y64" s="16"/>
      <c r="Z64" s="16"/>
      <c r="AA64" s="16"/>
      <c r="AB64" s="17">
        <v>1</v>
      </c>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7">
        <f t="shared" si="5"/>
        <v>6</v>
      </c>
      <c r="BB64" s="29">
        <f>BA64*1151.11166666667</f>
        <v>6906.6700000000201</v>
      </c>
      <c r="BC64" s="24">
        <v>959.2600000000001</v>
      </c>
      <c r="BD64" s="43">
        <f t="shared" si="4"/>
        <v>5755.56</v>
      </c>
      <c r="BE64" s="36">
        <f t="shared" si="3"/>
        <v>6216.0048000000006</v>
      </c>
    </row>
    <row r="65" spans="1:57" ht="24.75" customHeight="1" x14ac:dyDescent="0.25">
      <c r="A65" s="6">
        <v>60</v>
      </c>
      <c r="B65" s="38">
        <v>137</v>
      </c>
      <c r="C65" s="5" t="s">
        <v>161</v>
      </c>
      <c r="D65" s="5" t="s">
        <v>334</v>
      </c>
      <c r="E65" s="15" t="s">
        <v>48</v>
      </c>
      <c r="F65" s="16"/>
      <c r="G65" s="16"/>
      <c r="H65" s="16"/>
      <c r="I65" s="16"/>
      <c r="J65" s="16"/>
      <c r="K65" s="16"/>
      <c r="L65" s="16"/>
      <c r="M65" s="16"/>
      <c r="N65" s="16"/>
      <c r="O65" s="16"/>
      <c r="P65" s="16"/>
      <c r="Q65" s="16"/>
      <c r="R65" s="16"/>
      <c r="S65" s="17">
        <v>1</v>
      </c>
      <c r="T65" s="17">
        <v>4</v>
      </c>
      <c r="U65" s="16"/>
      <c r="V65" s="16"/>
      <c r="W65" s="17">
        <v>3</v>
      </c>
      <c r="X65" s="16"/>
      <c r="Y65" s="16"/>
      <c r="Z65" s="16"/>
      <c r="AA65" s="17">
        <v>2</v>
      </c>
      <c r="AB65" s="17">
        <v>23</v>
      </c>
      <c r="AC65" s="17">
        <v>2</v>
      </c>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7">
        <f t="shared" si="5"/>
        <v>35</v>
      </c>
      <c r="BB65" s="29">
        <f>BA65*11212.932</f>
        <v>392452.62</v>
      </c>
      <c r="BC65" s="24">
        <v>9344.1099999999988</v>
      </c>
      <c r="BD65" s="43">
        <f t="shared" si="4"/>
        <v>327043.84999999998</v>
      </c>
      <c r="BE65" s="36">
        <f t="shared" si="3"/>
        <v>353207.35800000001</v>
      </c>
    </row>
    <row r="66" spans="1:57" ht="24.75" customHeight="1" x14ac:dyDescent="0.25">
      <c r="A66" s="5">
        <v>61</v>
      </c>
      <c r="B66" s="38">
        <v>138</v>
      </c>
      <c r="C66" s="5" t="s">
        <v>162</v>
      </c>
      <c r="D66" s="5" t="s">
        <v>163</v>
      </c>
      <c r="E66" s="15" t="s">
        <v>48</v>
      </c>
      <c r="F66" s="16"/>
      <c r="G66" s="16"/>
      <c r="H66" s="16"/>
      <c r="I66" s="16"/>
      <c r="J66" s="16"/>
      <c r="K66" s="16"/>
      <c r="L66" s="16"/>
      <c r="M66" s="16"/>
      <c r="N66" s="16"/>
      <c r="O66" s="16"/>
      <c r="P66" s="16"/>
      <c r="Q66" s="16"/>
      <c r="R66" s="16"/>
      <c r="S66" s="17">
        <v>1</v>
      </c>
      <c r="T66" s="16"/>
      <c r="U66" s="16"/>
      <c r="V66" s="16"/>
      <c r="W66" s="17">
        <v>6</v>
      </c>
      <c r="X66" s="16"/>
      <c r="Y66" s="16"/>
      <c r="Z66" s="16"/>
      <c r="AA66" s="17">
        <v>2</v>
      </c>
      <c r="AB66" s="17">
        <v>5</v>
      </c>
      <c r="AC66" s="16"/>
      <c r="AD66" s="16"/>
      <c r="AE66" s="16"/>
      <c r="AF66" s="16"/>
      <c r="AG66" s="16"/>
      <c r="AH66" s="16"/>
      <c r="AI66" s="17">
        <v>1</v>
      </c>
      <c r="AJ66" s="16"/>
      <c r="AK66" s="16"/>
      <c r="AL66" s="16"/>
      <c r="AM66" s="16"/>
      <c r="AN66" s="16"/>
      <c r="AO66" s="16"/>
      <c r="AP66" s="16"/>
      <c r="AQ66" s="16"/>
      <c r="AR66" s="16"/>
      <c r="AS66" s="16"/>
      <c r="AT66" s="16"/>
      <c r="AU66" s="16"/>
      <c r="AV66" s="16"/>
      <c r="AW66" s="16"/>
      <c r="AX66" s="16"/>
      <c r="AY66" s="16"/>
      <c r="AZ66" s="16"/>
      <c r="BA66" s="17">
        <f t="shared" si="5"/>
        <v>15</v>
      </c>
      <c r="BB66" s="29">
        <f>BA66*1783.2</f>
        <v>26748</v>
      </c>
      <c r="BC66" s="24">
        <v>1486</v>
      </c>
      <c r="BD66" s="43">
        <f t="shared" si="4"/>
        <v>22290</v>
      </c>
      <c r="BE66" s="36">
        <f t="shared" si="3"/>
        <v>24073.200000000001</v>
      </c>
    </row>
    <row r="67" spans="1:57" ht="24.75" customHeight="1" x14ac:dyDescent="0.25">
      <c r="A67" s="5">
        <v>62</v>
      </c>
      <c r="B67" s="38">
        <v>139</v>
      </c>
      <c r="C67" s="5" t="s">
        <v>164</v>
      </c>
      <c r="D67" s="5" t="s">
        <v>165</v>
      </c>
      <c r="E67" s="15" t="s">
        <v>48</v>
      </c>
      <c r="F67" s="16"/>
      <c r="G67" s="16"/>
      <c r="H67" s="16"/>
      <c r="I67" s="16"/>
      <c r="J67" s="16"/>
      <c r="K67" s="16"/>
      <c r="L67" s="16"/>
      <c r="M67" s="16"/>
      <c r="N67" s="16"/>
      <c r="O67" s="16"/>
      <c r="P67" s="16"/>
      <c r="Q67" s="16"/>
      <c r="R67" s="16"/>
      <c r="S67" s="17">
        <v>1</v>
      </c>
      <c r="T67" s="17">
        <v>2</v>
      </c>
      <c r="U67" s="16"/>
      <c r="V67" s="16"/>
      <c r="W67" s="16"/>
      <c r="X67" s="16"/>
      <c r="Y67" s="16"/>
      <c r="Z67" s="16"/>
      <c r="AA67" s="17">
        <v>2</v>
      </c>
      <c r="AB67" s="17">
        <v>12</v>
      </c>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7">
        <f t="shared" si="5"/>
        <v>17</v>
      </c>
      <c r="BB67" s="29">
        <f>BA67*10176</f>
        <v>172992</v>
      </c>
      <c r="BC67" s="24">
        <v>8480</v>
      </c>
      <c r="BD67" s="43">
        <f t="shared" si="4"/>
        <v>144160</v>
      </c>
      <c r="BE67" s="36">
        <f t="shared" si="3"/>
        <v>155692.80000000002</v>
      </c>
    </row>
    <row r="68" spans="1:57" ht="24.75" customHeight="1" x14ac:dyDescent="0.25">
      <c r="A68" s="5">
        <v>63</v>
      </c>
      <c r="B68" s="38">
        <v>140</v>
      </c>
      <c r="C68" s="5" t="s">
        <v>166</v>
      </c>
      <c r="D68" s="5" t="s">
        <v>167</v>
      </c>
      <c r="E68" s="15" t="s">
        <v>48</v>
      </c>
      <c r="F68" s="16"/>
      <c r="G68" s="16"/>
      <c r="H68" s="16"/>
      <c r="I68" s="16"/>
      <c r="J68" s="16"/>
      <c r="K68" s="16"/>
      <c r="L68" s="16"/>
      <c r="M68" s="16"/>
      <c r="N68" s="16"/>
      <c r="O68" s="16"/>
      <c r="P68" s="16"/>
      <c r="Q68" s="16"/>
      <c r="R68" s="16"/>
      <c r="S68" s="17">
        <v>1</v>
      </c>
      <c r="T68" s="16"/>
      <c r="U68" s="16"/>
      <c r="V68" s="16"/>
      <c r="W68" s="17">
        <v>3</v>
      </c>
      <c r="X68" s="16"/>
      <c r="Y68" s="16"/>
      <c r="Z68" s="16"/>
      <c r="AA68" s="17">
        <v>2</v>
      </c>
      <c r="AB68" s="17">
        <v>14</v>
      </c>
      <c r="AC68" s="16"/>
      <c r="AD68" s="16"/>
      <c r="AE68" s="16"/>
      <c r="AF68" s="16"/>
      <c r="AG68" s="16"/>
      <c r="AH68" s="16"/>
      <c r="AI68" s="16"/>
      <c r="AJ68" s="16"/>
      <c r="AK68" s="16"/>
      <c r="AL68" s="16"/>
      <c r="AM68" s="16"/>
      <c r="AN68" s="16"/>
      <c r="AO68" s="16"/>
      <c r="AP68" s="16"/>
      <c r="AQ68" s="16"/>
      <c r="AR68" s="16"/>
      <c r="AS68" s="16"/>
      <c r="AT68" s="16"/>
      <c r="AU68" s="16"/>
      <c r="AV68" s="16"/>
      <c r="AW68" s="16"/>
      <c r="AX68" s="16"/>
      <c r="AY68" s="16"/>
      <c r="AZ68" s="16"/>
      <c r="BA68" s="17">
        <f t="shared" si="5"/>
        <v>20</v>
      </c>
      <c r="BB68" s="29">
        <f>BA68*10176</f>
        <v>203520</v>
      </c>
      <c r="BC68" s="24">
        <v>8480</v>
      </c>
      <c r="BD68" s="43">
        <f t="shared" si="4"/>
        <v>169600</v>
      </c>
      <c r="BE68" s="36">
        <f t="shared" si="3"/>
        <v>183168</v>
      </c>
    </row>
    <row r="69" spans="1:57" ht="24.75" customHeight="1" x14ac:dyDescent="0.25">
      <c r="A69" s="5">
        <v>64</v>
      </c>
      <c r="B69" s="38">
        <v>146</v>
      </c>
      <c r="C69" s="5" t="s">
        <v>168</v>
      </c>
      <c r="D69" s="5" t="s">
        <v>169</v>
      </c>
      <c r="E69" s="15" t="s">
        <v>48</v>
      </c>
      <c r="F69" s="16"/>
      <c r="G69" s="16"/>
      <c r="H69" s="16"/>
      <c r="I69" s="16"/>
      <c r="J69" s="16"/>
      <c r="K69" s="16"/>
      <c r="L69" s="16"/>
      <c r="M69" s="16"/>
      <c r="N69" s="16"/>
      <c r="O69" s="16"/>
      <c r="P69" s="16"/>
      <c r="Q69" s="16"/>
      <c r="R69" s="16"/>
      <c r="S69" s="16"/>
      <c r="T69" s="16"/>
      <c r="U69" s="16"/>
      <c r="V69" s="16"/>
      <c r="W69" s="17">
        <v>6</v>
      </c>
      <c r="X69" s="16"/>
      <c r="Y69" s="16"/>
      <c r="Z69" s="16"/>
      <c r="AA69" s="16"/>
      <c r="AB69" s="16"/>
      <c r="AC69" s="16"/>
      <c r="AD69" s="16"/>
      <c r="AE69" s="17">
        <v>1</v>
      </c>
      <c r="AF69" s="16"/>
      <c r="AG69" s="16"/>
      <c r="AH69" s="16"/>
      <c r="AI69" s="16"/>
      <c r="AJ69" s="16"/>
      <c r="AK69" s="17">
        <v>5</v>
      </c>
      <c r="AL69" s="17">
        <v>1</v>
      </c>
      <c r="AM69" s="16"/>
      <c r="AN69" s="16"/>
      <c r="AO69" s="16"/>
      <c r="AP69" s="16"/>
      <c r="AQ69" s="16"/>
      <c r="AR69" s="16"/>
      <c r="AS69" s="16"/>
      <c r="AT69" s="16"/>
      <c r="AU69" s="16"/>
      <c r="AV69" s="16"/>
      <c r="AW69" s="17">
        <v>5</v>
      </c>
      <c r="AX69" s="16"/>
      <c r="AY69" s="16"/>
      <c r="AZ69" s="16"/>
      <c r="BA69" s="17">
        <f t="shared" si="5"/>
        <v>18</v>
      </c>
      <c r="BB69" s="29">
        <f>BA69*192</f>
        <v>3456</v>
      </c>
      <c r="BC69" s="24">
        <v>160</v>
      </c>
      <c r="BD69" s="43">
        <f t="shared" si="4"/>
        <v>2880</v>
      </c>
      <c r="BE69" s="36">
        <f t="shared" si="3"/>
        <v>3110.4</v>
      </c>
    </row>
    <row r="70" spans="1:57" ht="24.75" customHeight="1" x14ac:dyDescent="0.25">
      <c r="A70" s="5">
        <v>65</v>
      </c>
      <c r="B70" s="38">
        <v>147</v>
      </c>
      <c r="C70" s="5" t="s">
        <v>170</v>
      </c>
      <c r="D70" s="5" t="s">
        <v>171</v>
      </c>
      <c r="E70" s="15" t="s">
        <v>48</v>
      </c>
      <c r="F70" s="16"/>
      <c r="G70" s="16"/>
      <c r="H70" s="16"/>
      <c r="I70" s="16"/>
      <c r="J70" s="16"/>
      <c r="K70" s="16"/>
      <c r="L70" s="16"/>
      <c r="M70" s="16"/>
      <c r="N70" s="16"/>
      <c r="O70" s="16"/>
      <c r="P70" s="16"/>
      <c r="Q70" s="16"/>
      <c r="R70" s="16"/>
      <c r="S70" s="16"/>
      <c r="T70" s="16"/>
      <c r="U70" s="16"/>
      <c r="V70" s="16"/>
      <c r="W70" s="17">
        <v>6</v>
      </c>
      <c r="X70" s="16"/>
      <c r="Y70" s="16"/>
      <c r="Z70" s="16"/>
      <c r="AA70" s="16"/>
      <c r="AB70" s="16"/>
      <c r="AC70" s="16"/>
      <c r="AD70" s="16"/>
      <c r="AE70" s="17">
        <v>2</v>
      </c>
      <c r="AF70" s="16"/>
      <c r="AG70" s="16"/>
      <c r="AH70" s="16"/>
      <c r="AI70" s="16"/>
      <c r="AJ70" s="16"/>
      <c r="AK70" s="17">
        <v>5</v>
      </c>
      <c r="AL70" s="17">
        <v>1</v>
      </c>
      <c r="AM70" s="16"/>
      <c r="AN70" s="16"/>
      <c r="AO70" s="16"/>
      <c r="AP70" s="17">
        <v>1</v>
      </c>
      <c r="AQ70" s="16"/>
      <c r="AR70" s="16"/>
      <c r="AS70" s="16"/>
      <c r="AT70" s="16"/>
      <c r="AU70" s="16"/>
      <c r="AV70" s="16"/>
      <c r="AW70" s="16"/>
      <c r="AX70" s="16"/>
      <c r="AY70" s="16"/>
      <c r="AZ70" s="16"/>
      <c r="BA70" s="17">
        <f t="shared" ref="BA70:BA101" si="6">SUM(F70:AZ70)</f>
        <v>15</v>
      </c>
      <c r="BB70" s="29">
        <f>BA70*192</f>
        <v>2880</v>
      </c>
      <c r="BC70" s="24">
        <v>160</v>
      </c>
      <c r="BD70" s="43">
        <f t="shared" si="4"/>
        <v>2400</v>
      </c>
      <c r="BE70" s="36">
        <f t="shared" si="3"/>
        <v>2592</v>
      </c>
    </row>
    <row r="71" spans="1:57" ht="24.75" customHeight="1" x14ac:dyDescent="0.25">
      <c r="A71" s="5">
        <v>66</v>
      </c>
      <c r="B71" s="38">
        <v>150</v>
      </c>
      <c r="C71" s="5" t="s">
        <v>172</v>
      </c>
      <c r="D71" s="5" t="s">
        <v>173</v>
      </c>
      <c r="E71" s="15" t="s">
        <v>48</v>
      </c>
      <c r="F71" s="16"/>
      <c r="G71" s="16"/>
      <c r="H71" s="16"/>
      <c r="I71" s="16"/>
      <c r="J71" s="16"/>
      <c r="K71" s="16"/>
      <c r="L71" s="16"/>
      <c r="M71" s="16"/>
      <c r="N71" s="16"/>
      <c r="O71" s="16"/>
      <c r="P71" s="16"/>
      <c r="Q71" s="16"/>
      <c r="R71" s="16"/>
      <c r="S71" s="16"/>
      <c r="T71" s="16"/>
      <c r="U71" s="16"/>
      <c r="V71" s="16"/>
      <c r="W71" s="17">
        <v>4</v>
      </c>
      <c r="X71" s="16"/>
      <c r="Y71" s="16"/>
      <c r="Z71" s="16"/>
      <c r="AA71" s="16"/>
      <c r="AB71" s="16"/>
      <c r="AC71" s="16"/>
      <c r="AD71" s="16"/>
      <c r="AE71" s="17">
        <v>1</v>
      </c>
      <c r="AF71" s="16"/>
      <c r="AG71" s="16"/>
      <c r="AH71" s="16"/>
      <c r="AI71" s="16"/>
      <c r="AJ71" s="16"/>
      <c r="AK71" s="16"/>
      <c r="AL71" s="16"/>
      <c r="AM71" s="16"/>
      <c r="AN71" s="16"/>
      <c r="AO71" s="16"/>
      <c r="AP71" s="17">
        <v>1</v>
      </c>
      <c r="AQ71" s="16"/>
      <c r="AR71" s="16"/>
      <c r="AS71" s="16"/>
      <c r="AT71" s="17">
        <v>2</v>
      </c>
      <c r="AU71" s="16"/>
      <c r="AV71" s="16"/>
      <c r="AW71" s="16"/>
      <c r="AX71" s="16"/>
      <c r="AY71" s="16"/>
      <c r="AZ71" s="16"/>
      <c r="BA71" s="17">
        <f t="shared" si="6"/>
        <v>8</v>
      </c>
      <c r="BB71" s="29">
        <f>BA71*192</f>
        <v>1536</v>
      </c>
      <c r="BC71" s="24">
        <v>160</v>
      </c>
      <c r="BD71" s="43">
        <f t="shared" si="4"/>
        <v>1280</v>
      </c>
      <c r="BE71" s="36">
        <f t="shared" ref="BE71:BE134" si="7">BD71*1.08</f>
        <v>1382.4</v>
      </c>
    </row>
    <row r="72" spans="1:57" ht="24.75" customHeight="1" x14ac:dyDescent="0.25">
      <c r="A72" s="5">
        <v>67</v>
      </c>
      <c r="B72" s="38">
        <v>153</v>
      </c>
      <c r="C72" s="5" t="s">
        <v>174</v>
      </c>
      <c r="D72" s="5" t="s">
        <v>175</v>
      </c>
      <c r="E72" s="15" t="s">
        <v>48</v>
      </c>
      <c r="F72" s="16"/>
      <c r="G72" s="16"/>
      <c r="H72" s="16"/>
      <c r="I72" s="16"/>
      <c r="J72" s="16"/>
      <c r="K72" s="16"/>
      <c r="L72" s="16"/>
      <c r="M72" s="16"/>
      <c r="N72" s="16"/>
      <c r="O72" s="16"/>
      <c r="P72" s="16"/>
      <c r="Q72" s="17">
        <v>2</v>
      </c>
      <c r="R72" s="16"/>
      <c r="S72" s="17">
        <v>2</v>
      </c>
      <c r="T72" s="16"/>
      <c r="U72" s="16"/>
      <c r="V72" s="16"/>
      <c r="W72" s="16"/>
      <c r="X72" s="16"/>
      <c r="Y72" s="17">
        <v>10</v>
      </c>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7">
        <f t="shared" si="6"/>
        <v>14</v>
      </c>
      <c r="BB72" s="29">
        <f>BA72*600</f>
        <v>8400</v>
      </c>
      <c r="BC72" s="24">
        <v>500</v>
      </c>
      <c r="BD72" s="43">
        <f t="shared" ref="BD72:BD135" si="8">ROUND(BC72*BA72,2)</f>
        <v>7000</v>
      </c>
      <c r="BE72" s="36">
        <f t="shared" si="7"/>
        <v>7560.0000000000009</v>
      </c>
    </row>
    <row r="73" spans="1:57" ht="24.75" customHeight="1" x14ac:dyDescent="0.25">
      <c r="A73" s="5">
        <v>68</v>
      </c>
      <c r="B73" s="38">
        <v>156</v>
      </c>
      <c r="C73" s="5" t="s">
        <v>176</v>
      </c>
      <c r="D73" s="5" t="s">
        <v>177</v>
      </c>
      <c r="E73" s="15" t="s">
        <v>48</v>
      </c>
      <c r="F73" s="16"/>
      <c r="G73" s="16"/>
      <c r="H73" s="17">
        <v>2</v>
      </c>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c r="AY73" s="16"/>
      <c r="AZ73" s="16"/>
      <c r="BA73" s="17">
        <f t="shared" si="6"/>
        <v>2</v>
      </c>
      <c r="BB73" s="30">
        <f>BA73*367.2</f>
        <v>734.4</v>
      </c>
      <c r="BC73" s="24">
        <v>306</v>
      </c>
      <c r="BD73" s="43">
        <f t="shared" si="8"/>
        <v>612</v>
      </c>
      <c r="BE73" s="36">
        <f t="shared" si="7"/>
        <v>660.96</v>
      </c>
    </row>
    <row r="74" spans="1:57" ht="24.75" customHeight="1" x14ac:dyDescent="0.25">
      <c r="A74" s="5">
        <v>69</v>
      </c>
      <c r="B74" s="38">
        <v>160</v>
      </c>
      <c r="C74" s="5" t="s">
        <v>178</v>
      </c>
      <c r="D74" s="5" t="s">
        <v>179</v>
      </c>
      <c r="E74" s="15" t="s">
        <v>48</v>
      </c>
      <c r="F74" s="16"/>
      <c r="G74" s="16"/>
      <c r="H74" s="16"/>
      <c r="I74" s="16"/>
      <c r="J74" s="16"/>
      <c r="K74" s="16"/>
      <c r="L74" s="16"/>
      <c r="M74" s="16"/>
      <c r="N74" s="16"/>
      <c r="O74" s="16"/>
      <c r="P74" s="16"/>
      <c r="Q74" s="16"/>
      <c r="R74" s="16"/>
      <c r="S74" s="16"/>
      <c r="T74" s="16"/>
      <c r="U74" s="16"/>
      <c r="V74" s="16"/>
      <c r="W74" s="16"/>
      <c r="X74" s="16"/>
      <c r="Y74" s="16"/>
      <c r="Z74" s="16"/>
      <c r="AA74" s="16"/>
      <c r="AB74" s="17">
        <v>2</v>
      </c>
      <c r="AC74" s="16"/>
      <c r="AD74" s="16"/>
      <c r="AE74" s="17">
        <v>2</v>
      </c>
      <c r="AF74" s="16"/>
      <c r="AG74" s="16"/>
      <c r="AH74" s="16"/>
      <c r="AI74" s="16"/>
      <c r="AJ74" s="16"/>
      <c r="AK74" s="16"/>
      <c r="AL74" s="16"/>
      <c r="AM74" s="16"/>
      <c r="AN74" s="16"/>
      <c r="AO74" s="16"/>
      <c r="AP74" s="16"/>
      <c r="AQ74" s="16"/>
      <c r="AR74" s="16"/>
      <c r="AS74" s="16"/>
      <c r="AT74" s="16"/>
      <c r="AU74" s="16"/>
      <c r="AV74" s="16"/>
      <c r="AW74" s="17">
        <v>1</v>
      </c>
      <c r="AX74" s="16"/>
      <c r="AY74" s="16"/>
      <c r="AZ74" s="16"/>
      <c r="BA74" s="17">
        <f t="shared" si="6"/>
        <v>5</v>
      </c>
      <c r="BB74" s="29">
        <f>BA74*576</f>
        <v>2880</v>
      </c>
      <c r="BC74" s="24">
        <v>480</v>
      </c>
      <c r="BD74" s="43">
        <f t="shared" si="8"/>
        <v>2400</v>
      </c>
      <c r="BE74" s="36">
        <f t="shared" si="7"/>
        <v>2592</v>
      </c>
    </row>
    <row r="75" spans="1:57" ht="24.75" customHeight="1" x14ac:dyDescent="0.25">
      <c r="A75" s="5">
        <v>70</v>
      </c>
      <c r="B75" s="38">
        <v>166</v>
      </c>
      <c r="C75" s="5" t="s">
        <v>180</v>
      </c>
      <c r="D75" s="5" t="s">
        <v>181</v>
      </c>
      <c r="E75" s="15" t="s">
        <v>48</v>
      </c>
      <c r="F75" s="16"/>
      <c r="G75" s="16"/>
      <c r="H75" s="16"/>
      <c r="I75" s="16"/>
      <c r="J75" s="16"/>
      <c r="K75" s="16"/>
      <c r="L75" s="16"/>
      <c r="M75" s="16"/>
      <c r="N75" s="16"/>
      <c r="O75" s="16"/>
      <c r="P75" s="16"/>
      <c r="Q75" s="16"/>
      <c r="R75" s="16"/>
      <c r="S75" s="16"/>
      <c r="T75" s="16"/>
      <c r="U75" s="16"/>
      <c r="V75" s="16"/>
      <c r="W75" s="16"/>
      <c r="X75" s="16"/>
      <c r="Y75" s="16"/>
      <c r="Z75" s="16"/>
      <c r="AA75" s="16"/>
      <c r="AB75" s="17">
        <v>6</v>
      </c>
      <c r="AC75" s="16"/>
      <c r="AD75" s="16"/>
      <c r="AE75" s="16"/>
      <c r="AF75" s="16"/>
      <c r="AG75" s="16"/>
      <c r="AH75" s="16"/>
      <c r="AI75" s="16"/>
      <c r="AJ75" s="16"/>
      <c r="AK75" s="16"/>
      <c r="AL75" s="16"/>
      <c r="AM75" s="16"/>
      <c r="AN75" s="16"/>
      <c r="AO75" s="16"/>
      <c r="AP75" s="16"/>
      <c r="AQ75" s="16"/>
      <c r="AR75" s="16"/>
      <c r="AS75" s="16"/>
      <c r="AT75" s="16"/>
      <c r="AU75" s="16"/>
      <c r="AV75" s="16"/>
      <c r="AW75" s="16"/>
      <c r="AX75" s="16"/>
      <c r="AY75" s="16"/>
      <c r="AZ75" s="16"/>
      <c r="BA75" s="17">
        <f t="shared" si="6"/>
        <v>6</v>
      </c>
      <c r="BB75" s="29">
        <f>BA75*3328.8</f>
        <v>19972.800000000003</v>
      </c>
      <c r="BC75" s="24">
        <v>2774</v>
      </c>
      <c r="BD75" s="43">
        <f t="shared" si="8"/>
        <v>16644</v>
      </c>
      <c r="BE75" s="36">
        <f t="shared" si="7"/>
        <v>17975.52</v>
      </c>
    </row>
    <row r="76" spans="1:57" ht="24.75" customHeight="1" x14ac:dyDescent="0.25">
      <c r="A76" s="5">
        <v>71</v>
      </c>
      <c r="B76" s="38">
        <v>175</v>
      </c>
      <c r="C76" s="5" t="s">
        <v>182</v>
      </c>
      <c r="D76" s="5" t="s">
        <v>183</v>
      </c>
      <c r="E76" s="15" t="s">
        <v>48</v>
      </c>
      <c r="F76" s="16"/>
      <c r="G76" s="16"/>
      <c r="H76" s="16"/>
      <c r="I76" s="16"/>
      <c r="J76" s="16"/>
      <c r="K76" s="16"/>
      <c r="L76" s="16"/>
      <c r="M76" s="16"/>
      <c r="N76" s="16"/>
      <c r="O76" s="16"/>
      <c r="P76" s="16"/>
      <c r="Q76" s="16"/>
      <c r="R76" s="16"/>
      <c r="S76" s="17">
        <v>1</v>
      </c>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c r="AY76" s="16"/>
      <c r="AZ76" s="16"/>
      <c r="BA76" s="17">
        <f t="shared" si="6"/>
        <v>1</v>
      </c>
      <c r="BB76" s="29">
        <f>BA76*7748.4</f>
        <v>7748.4</v>
      </c>
      <c r="BC76" s="26">
        <v>6457</v>
      </c>
      <c r="BD76" s="43">
        <f t="shared" si="8"/>
        <v>6457</v>
      </c>
      <c r="BE76" s="36">
        <f t="shared" si="7"/>
        <v>6973.56</v>
      </c>
    </row>
    <row r="77" spans="1:57" ht="24.75" customHeight="1" x14ac:dyDescent="0.25">
      <c r="A77" s="5">
        <v>72</v>
      </c>
      <c r="B77" s="38">
        <v>176</v>
      </c>
      <c r="C77" s="5" t="s">
        <v>184</v>
      </c>
      <c r="D77" s="5" t="s">
        <v>185</v>
      </c>
      <c r="E77" s="15" t="s">
        <v>48</v>
      </c>
      <c r="F77" s="16"/>
      <c r="G77" s="16"/>
      <c r="H77" s="16"/>
      <c r="I77" s="16"/>
      <c r="J77" s="16"/>
      <c r="K77" s="16"/>
      <c r="L77" s="16"/>
      <c r="M77" s="16"/>
      <c r="N77" s="16"/>
      <c r="O77" s="16"/>
      <c r="P77" s="16"/>
      <c r="Q77" s="16"/>
      <c r="R77" s="16"/>
      <c r="S77" s="17">
        <v>1</v>
      </c>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c r="AY77" s="16"/>
      <c r="AZ77" s="16"/>
      <c r="BA77" s="17">
        <f t="shared" si="6"/>
        <v>1</v>
      </c>
      <c r="BB77" s="29">
        <f>BA77*7248</f>
        <v>7248</v>
      </c>
      <c r="BC77" s="26">
        <v>6040</v>
      </c>
      <c r="BD77" s="43">
        <f t="shared" si="8"/>
        <v>6040</v>
      </c>
      <c r="BE77" s="36">
        <f t="shared" si="7"/>
        <v>6523.2000000000007</v>
      </c>
    </row>
    <row r="78" spans="1:57" ht="24.75" customHeight="1" x14ac:dyDescent="0.25">
      <c r="A78" s="5">
        <v>73</v>
      </c>
      <c r="B78" s="38">
        <v>178</v>
      </c>
      <c r="C78" s="5" t="s">
        <v>186</v>
      </c>
      <c r="D78" s="5" t="s">
        <v>187</v>
      </c>
      <c r="E78" s="15" t="s">
        <v>48</v>
      </c>
      <c r="F78" s="16"/>
      <c r="G78" s="16"/>
      <c r="H78" s="16"/>
      <c r="I78" s="16"/>
      <c r="J78" s="16"/>
      <c r="K78" s="16"/>
      <c r="L78" s="16"/>
      <c r="M78" s="16"/>
      <c r="N78" s="16"/>
      <c r="O78" s="16"/>
      <c r="P78" s="16"/>
      <c r="Q78" s="16"/>
      <c r="R78" s="16"/>
      <c r="S78" s="16"/>
      <c r="T78" s="16"/>
      <c r="U78" s="16"/>
      <c r="V78" s="16"/>
      <c r="W78" s="16"/>
      <c r="X78" s="16"/>
      <c r="Y78" s="16"/>
      <c r="Z78" s="16">
        <v>1</v>
      </c>
      <c r="AA78" s="16"/>
      <c r="AB78" s="17">
        <v>10</v>
      </c>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7">
        <f t="shared" si="6"/>
        <v>11</v>
      </c>
      <c r="BB78" s="29">
        <f>BA78*1136.4</f>
        <v>12500.400000000001</v>
      </c>
      <c r="BC78" s="26">
        <v>947</v>
      </c>
      <c r="BD78" s="43">
        <f t="shared" si="8"/>
        <v>10417</v>
      </c>
      <c r="BE78" s="36">
        <f t="shared" si="7"/>
        <v>11250.36</v>
      </c>
    </row>
    <row r="79" spans="1:57" ht="24.75" customHeight="1" x14ac:dyDescent="0.25">
      <c r="A79" s="5">
        <v>75</v>
      </c>
      <c r="B79" s="38">
        <v>183</v>
      </c>
      <c r="C79" s="5" t="s">
        <v>188</v>
      </c>
      <c r="D79" s="5" t="s">
        <v>326</v>
      </c>
      <c r="E79" s="15" t="s">
        <v>48</v>
      </c>
      <c r="F79" s="16"/>
      <c r="G79" s="16"/>
      <c r="H79" s="16"/>
      <c r="I79" s="16"/>
      <c r="J79" s="16"/>
      <c r="K79" s="16"/>
      <c r="L79" s="16"/>
      <c r="M79" s="16"/>
      <c r="N79" s="16"/>
      <c r="O79" s="16"/>
      <c r="P79" s="16"/>
      <c r="Q79" s="16"/>
      <c r="R79" s="16"/>
      <c r="S79" s="16"/>
      <c r="T79" s="16"/>
      <c r="U79" s="16"/>
      <c r="V79" s="16"/>
      <c r="W79" s="16"/>
      <c r="X79" s="16"/>
      <c r="Y79" s="16"/>
      <c r="Z79" s="16">
        <v>3</v>
      </c>
      <c r="AA79" s="16"/>
      <c r="AB79" s="17">
        <v>6</v>
      </c>
      <c r="AC79" s="16"/>
      <c r="AD79" s="16"/>
      <c r="AE79" s="16"/>
      <c r="AF79" s="16"/>
      <c r="AG79" s="16"/>
      <c r="AH79" s="16"/>
      <c r="AI79" s="16"/>
      <c r="AJ79" s="16"/>
      <c r="AK79" s="16"/>
      <c r="AL79" s="16"/>
      <c r="AM79" s="16"/>
      <c r="AN79" s="16"/>
      <c r="AO79" s="16"/>
      <c r="AP79" s="16"/>
      <c r="AQ79" s="16"/>
      <c r="AR79" s="16"/>
      <c r="AS79" s="16"/>
      <c r="AT79" s="16"/>
      <c r="AU79" s="16"/>
      <c r="AV79" s="16"/>
      <c r="AW79" s="16"/>
      <c r="AX79" s="16"/>
      <c r="AY79" s="16"/>
      <c r="AZ79" s="16"/>
      <c r="BA79" s="17">
        <f t="shared" si="6"/>
        <v>9</v>
      </c>
      <c r="BB79" s="29">
        <f t="shared" ref="BB79" si="9">BA79*1590</f>
        <v>14310</v>
      </c>
      <c r="BC79" s="26">
        <v>1325</v>
      </c>
      <c r="BD79" s="43">
        <f t="shared" si="8"/>
        <v>11925</v>
      </c>
      <c r="BE79" s="36">
        <f t="shared" si="7"/>
        <v>12879</v>
      </c>
    </row>
    <row r="80" spans="1:57" ht="24.75" customHeight="1" x14ac:dyDescent="0.25">
      <c r="A80" s="5">
        <v>76</v>
      </c>
      <c r="B80" s="38">
        <v>184</v>
      </c>
      <c r="C80" s="5" t="s">
        <v>189</v>
      </c>
      <c r="D80" s="5" t="s">
        <v>190</v>
      </c>
      <c r="E80" s="15" t="s">
        <v>48</v>
      </c>
      <c r="F80" s="16"/>
      <c r="G80" s="16"/>
      <c r="H80" s="16"/>
      <c r="I80" s="16"/>
      <c r="J80" s="16"/>
      <c r="K80" s="16"/>
      <c r="L80" s="16"/>
      <c r="M80" s="16"/>
      <c r="N80" s="16"/>
      <c r="O80" s="16"/>
      <c r="P80" s="16"/>
      <c r="Q80" s="16"/>
      <c r="R80" s="16"/>
      <c r="S80" s="16"/>
      <c r="T80" s="16"/>
      <c r="U80" s="16"/>
      <c r="V80" s="16"/>
      <c r="W80" s="17">
        <v>1</v>
      </c>
      <c r="X80" s="16"/>
      <c r="Y80" s="16"/>
      <c r="Z80" s="16"/>
      <c r="AA80" s="17">
        <v>2</v>
      </c>
      <c r="AB80" s="17">
        <v>12</v>
      </c>
      <c r="AC80" s="17">
        <v>1</v>
      </c>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7">
        <f t="shared" si="6"/>
        <v>16</v>
      </c>
      <c r="BB80" s="29">
        <v>5040</v>
      </c>
      <c r="BC80" s="26">
        <v>4200</v>
      </c>
      <c r="BD80" s="43">
        <f t="shared" si="8"/>
        <v>67200</v>
      </c>
      <c r="BE80" s="36">
        <f t="shared" si="7"/>
        <v>72576</v>
      </c>
    </row>
    <row r="81" spans="1:57" ht="24.75" customHeight="1" x14ac:dyDescent="0.25">
      <c r="A81" s="5">
        <v>77</v>
      </c>
      <c r="B81" s="38">
        <v>185</v>
      </c>
      <c r="C81" s="5" t="s">
        <v>191</v>
      </c>
      <c r="D81" s="5" t="s">
        <v>192</v>
      </c>
      <c r="E81" s="15" t="s">
        <v>48</v>
      </c>
      <c r="F81" s="16"/>
      <c r="G81" s="16"/>
      <c r="H81" s="16"/>
      <c r="I81" s="16"/>
      <c r="J81" s="16"/>
      <c r="K81" s="16"/>
      <c r="L81" s="16"/>
      <c r="M81" s="16"/>
      <c r="N81" s="16"/>
      <c r="O81" s="16"/>
      <c r="P81" s="16"/>
      <c r="Q81" s="16"/>
      <c r="R81" s="16"/>
      <c r="S81" s="16"/>
      <c r="T81" s="16"/>
      <c r="U81" s="16"/>
      <c r="V81" s="16"/>
      <c r="W81" s="17">
        <v>4</v>
      </c>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7">
        <f t="shared" si="6"/>
        <v>4</v>
      </c>
      <c r="BB81" s="29">
        <v>3200.0050000000001</v>
      </c>
      <c r="BC81" s="26">
        <v>2666.67</v>
      </c>
      <c r="BD81" s="43">
        <f t="shared" si="8"/>
        <v>10666.68</v>
      </c>
      <c r="BE81" s="36">
        <f t="shared" si="7"/>
        <v>11520.014400000002</v>
      </c>
    </row>
    <row r="82" spans="1:57" ht="24.75" customHeight="1" x14ac:dyDescent="0.25">
      <c r="A82" s="5">
        <v>78</v>
      </c>
      <c r="B82" s="38">
        <v>186</v>
      </c>
      <c r="C82" s="5" t="s">
        <v>193</v>
      </c>
      <c r="D82" s="5" t="s">
        <v>194</v>
      </c>
      <c r="E82" s="15" t="s">
        <v>48</v>
      </c>
      <c r="F82" s="16"/>
      <c r="G82" s="16"/>
      <c r="H82" s="16"/>
      <c r="I82" s="16"/>
      <c r="J82" s="16"/>
      <c r="K82" s="16"/>
      <c r="L82" s="16"/>
      <c r="M82" s="16"/>
      <c r="N82" s="16"/>
      <c r="O82" s="16"/>
      <c r="P82" s="16"/>
      <c r="Q82" s="16"/>
      <c r="R82" s="16"/>
      <c r="S82" s="17">
        <v>1</v>
      </c>
      <c r="T82" s="16"/>
      <c r="U82" s="16"/>
      <c r="V82" s="16"/>
      <c r="W82" s="17">
        <v>4</v>
      </c>
      <c r="X82" s="16"/>
      <c r="Y82" s="16"/>
      <c r="Z82" s="16"/>
      <c r="AA82" s="16"/>
      <c r="AB82" s="16"/>
      <c r="AC82" s="16"/>
      <c r="AD82" s="17">
        <v>1</v>
      </c>
      <c r="AE82" s="16"/>
      <c r="AF82" s="16"/>
      <c r="AG82" s="16"/>
      <c r="AH82" s="17">
        <v>2</v>
      </c>
      <c r="AI82" s="17">
        <v>1</v>
      </c>
      <c r="AJ82" s="16"/>
      <c r="AK82" s="16"/>
      <c r="AL82" s="16"/>
      <c r="AM82" s="16"/>
      <c r="AN82" s="16"/>
      <c r="AO82" s="16"/>
      <c r="AP82" s="16"/>
      <c r="AQ82" s="16"/>
      <c r="AR82" s="16"/>
      <c r="AS82" s="16"/>
      <c r="AT82" s="16"/>
      <c r="AU82" s="16"/>
      <c r="AV82" s="16"/>
      <c r="AW82" s="16"/>
      <c r="AX82" s="16"/>
      <c r="AY82" s="16"/>
      <c r="AZ82" s="16"/>
      <c r="BA82" s="17">
        <f t="shared" si="6"/>
        <v>9</v>
      </c>
      <c r="BB82" s="29">
        <v>3200.0044444444447</v>
      </c>
      <c r="BC82" s="26">
        <v>2666.67</v>
      </c>
      <c r="BD82" s="43">
        <f t="shared" si="8"/>
        <v>24000.03</v>
      </c>
      <c r="BE82" s="36">
        <f t="shared" si="7"/>
        <v>25920.0324</v>
      </c>
    </row>
    <row r="83" spans="1:57" ht="24.75" customHeight="1" x14ac:dyDescent="0.25">
      <c r="A83" s="5">
        <v>79</v>
      </c>
      <c r="B83" s="38">
        <v>193</v>
      </c>
      <c r="C83" s="5" t="s">
        <v>195</v>
      </c>
      <c r="D83" s="5" t="s">
        <v>196</v>
      </c>
      <c r="E83" s="15" t="s">
        <v>48</v>
      </c>
      <c r="F83" s="16"/>
      <c r="G83" s="16"/>
      <c r="H83" s="16"/>
      <c r="I83" s="16"/>
      <c r="J83" s="16"/>
      <c r="K83" s="16"/>
      <c r="L83" s="16"/>
      <c r="M83" s="16"/>
      <c r="N83" s="16"/>
      <c r="O83" s="16"/>
      <c r="P83" s="16"/>
      <c r="Q83" s="16"/>
      <c r="R83" s="17">
        <v>3</v>
      </c>
      <c r="S83" s="16"/>
      <c r="T83" s="16"/>
      <c r="U83" s="16"/>
      <c r="V83" s="16"/>
      <c r="W83" s="17">
        <v>20</v>
      </c>
      <c r="X83" s="16"/>
      <c r="Y83" s="16"/>
      <c r="Z83" s="17">
        <v>1</v>
      </c>
      <c r="AA83" s="16"/>
      <c r="AB83" s="16"/>
      <c r="AC83" s="16"/>
      <c r="AD83" s="16"/>
      <c r="AE83" s="16"/>
      <c r="AF83" s="16"/>
      <c r="AG83" s="16"/>
      <c r="AH83" s="17">
        <v>5</v>
      </c>
      <c r="AI83" s="17">
        <v>1</v>
      </c>
      <c r="AJ83" s="16"/>
      <c r="AK83" s="17">
        <v>5</v>
      </c>
      <c r="AL83" s="16"/>
      <c r="AM83" s="16"/>
      <c r="AN83" s="17">
        <v>5</v>
      </c>
      <c r="AO83" s="16"/>
      <c r="AP83" s="16"/>
      <c r="AQ83" s="16"/>
      <c r="AR83" s="16"/>
      <c r="AS83" s="16"/>
      <c r="AT83" s="16"/>
      <c r="AU83" s="16"/>
      <c r="AV83" s="16"/>
      <c r="AW83" s="16"/>
      <c r="AX83" s="16"/>
      <c r="AY83" s="16"/>
      <c r="AZ83" s="16"/>
      <c r="BA83" s="17">
        <f t="shared" si="6"/>
        <v>40</v>
      </c>
      <c r="BB83" s="29">
        <f>BA83*330</f>
        <v>13200</v>
      </c>
      <c r="BC83" s="26">
        <v>275</v>
      </c>
      <c r="BD83" s="43">
        <f t="shared" si="8"/>
        <v>11000</v>
      </c>
      <c r="BE83" s="36">
        <f t="shared" si="7"/>
        <v>11880</v>
      </c>
    </row>
    <row r="84" spans="1:57" ht="24.75" customHeight="1" x14ac:dyDescent="0.25">
      <c r="A84" s="5">
        <v>80</v>
      </c>
      <c r="B84" s="38">
        <v>197</v>
      </c>
      <c r="C84" s="5" t="s">
        <v>197</v>
      </c>
      <c r="D84" s="5" t="s">
        <v>198</v>
      </c>
      <c r="E84" s="15" t="s">
        <v>48</v>
      </c>
      <c r="F84" s="16"/>
      <c r="G84" s="16"/>
      <c r="H84" s="16"/>
      <c r="I84" s="16"/>
      <c r="J84" s="16"/>
      <c r="K84" s="16"/>
      <c r="L84" s="16"/>
      <c r="M84" s="16"/>
      <c r="N84" s="16"/>
      <c r="O84" s="16"/>
      <c r="P84" s="16"/>
      <c r="Q84" s="16"/>
      <c r="R84" s="16"/>
      <c r="S84" s="17">
        <v>1</v>
      </c>
      <c r="T84" s="16"/>
      <c r="U84" s="16"/>
      <c r="V84" s="16"/>
      <c r="W84" s="17">
        <v>2</v>
      </c>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7">
        <f t="shared" si="6"/>
        <v>3</v>
      </c>
      <c r="BB84" s="29">
        <f>BA84*2000.00333333333</f>
        <v>6000.0099999999893</v>
      </c>
      <c r="BC84" s="26">
        <v>1666.67</v>
      </c>
      <c r="BD84" s="43">
        <f t="shared" si="8"/>
        <v>5000.01</v>
      </c>
      <c r="BE84" s="36">
        <f t="shared" si="7"/>
        <v>5400.0108000000009</v>
      </c>
    </row>
    <row r="85" spans="1:57" ht="24.75" customHeight="1" x14ac:dyDescent="0.25">
      <c r="A85" s="5">
        <v>81</v>
      </c>
      <c r="B85" s="38">
        <v>200</v>
      </c>
      <c r="C85" s="5" t="s">
        <v>199</v>
      </c>
      <c r="D85" s="5" t="s">
        <v>200</v>
      </c>
      <c r="E85" s="15" t="s">
        <v>48</v>
      </c>
      <c r="F85" s="16"/>
      <c r="G85" s="16"/>
      <c r="H85" s="16"/>
      <c r="I85" s="16"/>
      <c r="J85" s="16"/>
      <c r="K85" s="16"/>
      <c r="L85" s="16"/>
      <c r="M85" s="16"/>
      <c r="N85" s="16"/>
      <c r="O85" s="16"/>
      <c r="P85" s="16"/>
      <c r="Q85" s="16"/>
      <c r="R85" s="16"/>
      <c r="S85" s="17">
        <v>1</v>
      </c>
      <c r="T85" s="16"/>
      <c r="U85" s="16"/>
      <c r="V85" s="16"/>
      <c r="W85" s="17">
        <v>5</v>
      </c>
      <c r="X85" s="16"/>
      <c r="Y85" s="16"/>
      <c r="Z85" s="16"/>
      <c r="AA85" s="16"/>
      <c r="AB85" s="16"/>
      <c r="AC85" s="16"/>
      <c r="AD85" s="16"/>
      <c r="AE85" s="16"/>
      <c r="AF85" s="16"/>
      <c r="AG85" s="16"/>
      <c r="AH85" s="16"/>
      <c r="AI85" s="16"/>
      <c r="AJ85" s="16"/>
      <c r="AK85" s="16"/>
      <c r="AL85" s="16"/>
      <c r="AM85" s="16"/>
      <c r="AN85" s="17">
        <v>1</v>
      </c>
      <c r="AO85" s="16"/>
      <c r="AP85" s="16"/>
      <c r="AQ85" s="16"/>
      <c r="AR85" s="16"/>
      <c r="AS85" s="16"/>
      <c r="AT85" s="16"/>
      <c r="AU85" s="16"/>
      <c r="AV85" s="16"/>
      <c r="AW85" s="16"/>
      <c r="AX85" s="16"/>
      <c r="AY85" s="16"/>
      <c r="AZ85" s="16"/>
      <c r="BA85" s="17">
        <f t="shared" si="6"/>
        <v>7</v>
      </c>
      <c r="BB85" s="29">
        <f>BA85*1617.6</f>
        <v>11323.199999999999</v>
      </c>
      <c r="BC85" s="26">
        <v>1348</v>
      </c>
      <c r="BD85" s="43">
        <f t="shared" si="8"/>
        <v>9436</v>
      </c>
      <c r="BE85" s="36">
        <f t="shared" si="7"/>
        <v>10190.880000000001</v>
      </c>
    </row>
    <row r="86" spans="1:57" ht="24.75" customHeight="1" x14ac:dyDescent="0.25">
      <c r="A86" s="5">
        <v>82</v>
      </c>
      <c r="B86" s="38">
        <v>204</v>
      </c>
      <c r="C86" s="5" t="s">
        <v>201</v>
      </c>
      <c r="D86" s="5" t="s">
        <v>202</v>
      </c>
      <c r="E86" s="15" t="s">
        <v>48</v>
      </c>
      <c r="F86" s="16"/>
      <c r="G86" s="16"/>
      <c r="H86" s="16"/>
      <c r="I86" s="16"/>
      <c r="J86" s="16"/>
      <c r="K86" s="16"/>
      <c r="L86" s="16"/>
      <c r="M86" s="16"/>
      <c r="N86" s="16"/>
      <c r="O86" s="16"/>
      <c r="P86" s="16"/>
      <c r="Q86" s="16"/>
      <c r="R86" s="16"/>
      <c r="S86" s="16"/>
      <c r="T86" s="16"/>
      <c r="U86" s="16"/>
      <c r="V86" s="16"/>
      <c r="W86" s="17">
        <v>5</v>
      </c>
      <c r="X86" s="16"/>
      <c r="Y86" s="16"/>
      <c r="Z86" s="16"/>
      <c r="AA86" s="16"/>
      <c r="AB86" s="16"/>
      <c r="AC86" s="16"/>
      <c r="AD86" s="16"/>
      <c r="AE86" s="16"/>
      <c r="AF86" s="16"/>
      <c r="AG86" s="16"/>
      <c r="AH86" s="17">
        <v>4</v>
      </c>
      <c r="AI86" s="16"/>
      <c r="AJ86" s="16"/>
      <c r="AK86" s="16"/>
      <c r="AL86" s="16"/>
      <c r="AM86" s="16"/>
      <c r="AN86" s="16"/>
      <c r="AO86" s="16"/>
      <c r="AP86" s="16"/>
      <c r="AQ86" s="16"/>
      <c r="AR86" s="16"/>
      <c r="AS86" s="16"/>
      <c r="AT86" s="16"/>
      <c r="AU86" s="16"/>
      <c r="AV86" s="16"/>
      <c r="AW86" s="16"/>
      <c r="AX86" s="16"/>
      <c r="AY86" s="16"/>
      <c r="AZ86" s="16"/>
      <c r="BA86" s="17">
        <f t="shared" si="6"/>
        <v>9</v>
      </c>
      <c r="BB86" s="29">
        <f>BA86*1131.73222222222</f>
        <v>10185.589999999978</v>
      </c>
      <c r="BC86" s="26">
        <v>943.11111111111109</v>
      </c>
      <c r="BD86" s="43">
        <f t="shared" si="8"/>
        <v>8488</v>
      </c>
      <c r="BE86" s="36">
        <f t="shared" si="7"/>
        <v>9167.0400000000009</v>
      </c>
    </row>
    <row r="87" spans="1:57" ht="24.75" customHeight="1" x14ac:dyDescent="0.25">
      <c r="A87" s="5">
        <v>83</v>
      </c>
      <c r="B87" s="39">
        <v>211</v>
      </c>
      <c r="C87" s="5" t="s">
        <v>203</v>
      </c>
      <c r="D87" s="5" t="s">
        <v>204</v>
      </c>
      <c r="E87" s="15" t="s">
        <v>48</v>
      </c>
      <c r="F87" s="16"/>
      <c r="G87" s="16"/>
      <c r="H87" s="16"/>
      <c r="I87" s="16"/>
      <c r="J87" s="16"/>
      <c r="K87" s="16"/>
      <c r="L87" s="16"/>
      <c r="M87" s="16"/>
      <c r="N87" s="16"/>
      <c r="O87" s="16"/>
      <c r="P87" s="16"/>
      <c r="Q87" s="16"/>
      <c r="R87" s="16"/>
      <c r="S87" s="16"/>
      <c r="T87" s="16"/>
      <c r="U87" s="16"/>
      <c r="V87" s="16"/>
      <c r="W87" s="17">
        <v>6</v>
      </c>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c r="AY87" s="16"/>
      <c r="AZ87" s="16"/>
      <c r="BA87" s="17">
        <f t="shared" si="6"/>
        <v>6</v>
      </c>
      <c r="BB87" s="29">
        <f>BA87*850.8</f>
        <v>5104.7999999999993</v>
      </c>
      <c r="BC87" s="26">
        <v>709</v>
      </c>
      <c r="BD87" s="43">
        <f t="shared" si="8"/>
        <v>4254</v>
      </c>
      <c r="BE87" s="36">
        <f t="shared" si="7"/>
        <v>4594.3200000000006</v>
      </c>
    </row>
    <row r="88" spans="1:57" ht="24.75" customHeight="1" x14ac:dyDescent="0.25">
      <c r="A88" s="5">
        <v>84</v>
      </c>
      <c r="B88" s="38">
        <v>213</v>
      </c>
      <c r="C88" s="6" t="s">
        <v>205</v>
      </c>
      <c r="D88" s="6" t="s">
        <v>206</v>
      </c>
      <c r="E88" s="15" t="s">
        <v>48</v>
      </c>
      <c r="F88" s="16"/>
      <c r="G88" s="16"/>
      <c r="H88" s="16"/>
      <c r="I88" s="16"/>
      <c r="J88" s="16"/>
      <c r="K88" s="16"/>
      <c r="L88" s="16"/>
      <c r="M88" s="16"/>
      <c r="N88" s="16"/>
      <c r="O88" s="16"/>
      <c r="P88" s="16"/>
      <c r="Q88" s="16"/>
      <c r="R88" s="16"/>
      <c r="S88" s="16"/>
      <c r="T88" s="16"/>
      <c r="U88" s="16"/>
      <c r="V88" s="16"/>
      <c r="W88" s="17">
        <v>12</v>
      </c>
      <c r="X88" s="17">
        <v>1</v>
      </c>
      <c r="Y88" s="16"/>
      <c r="Z88" s="17">
        <v>1</v>
      </c>
      <c r="AA88" s="16"/>
      <c r="AB88" s="16"/>
      <c r="AC88" s="16"/>
      <c r="AD88" s="16"/>
      <c r="AE88" s="17">
        <v>1</v>
      </c>
      <c r="AF88" s="16"/>
      <c r="AG88" s="16"/>
      <c r="AH88" s="17">
        <v>2</v>
      </c>
      <c r="AI88" s="17">
        <v>1</v>
      </c>
      <c r="AJ88" s="16"/>
      <c r="AK88" s="17">
        <v>2</v>
      </c>
      <c r="AL88" s="16"/>
      <c r="AM88" s="16"/>
      <c r="AN88" s="17">
        <v>1</v>
      </c>
      <c r="AO88" s="16"/>
      <c r="AP88" s="16"/>
      <c r="AQ88" s="16"/>
      <c r="AR88" s="16"/>
      <c r="AS88" s="16"/>
      <c r="AT88" s="16"/>
      <c r="AU88" s="16"/>
      <c r="AV88" s="16"/>
      <c r="AW88" s="16"/>
      <c r="AX88" s="16"/>
      <c r="AY88" s="16"/>
      <c r="AZ88" s="16"/>
      <c r="BA88" s="17">
        <f t="shared" si="6"/>
        <v>21</v>
      </c>
      <c r="BB88" s="29">
        <f>BA88*950.4</f>
        <v>19958.399999999998</v>
      </c>
      <c r="BC88" s="26">
        <v>792</v>
      </c>
      <c r="BD88" s="43">
        <f t="shared" si="8"/>
        <v>16632</v>
      </c>
      <c r="BE88" s="36">
        <f t="shared" si="7"/>
        <v>17962.560000000001</v>
      </c>
    </row>
    <row r="89" spans="1:57" ht="24.75" customHeight="1" x14ac:dyDescent="0.25">
      <c r="A89" s="5">
        <v>85</v>
      </c>
      <c r="B89" s="38">
        <v>214</v>
      </c>
      <c r="C89" s="5" t="s">
        <v>207</v>
      </c>
      <c r="D89" s="5" t="s">
        <v>208</v>
      </c>
      <c r="E89" s="15" t="s">
        <v>48</v>
      </c>
      <c r="F89" s="16"/>
      <c r="G89" s="16"/>
      <c r="H89" s="16">
        <v>7</v>
      </c>
      <c r="I89" s="16"/>
      <c r="J89" s="16"/>
      <c r="K89" s="16"/>
      <c r="L89" s="16"/>
      <c r="M89" s="16"/>
      <c r="N89" s="16"/>
      <c r="O89" s="16"/>
      <c r="P89" s="16"/>
      <c r="Q89" s="16"/>
      <c r="R89" s="16"/>
      <c r="S89" s="16"/>
      <c r="T89" s="16"/>
      <c r="U89" s="16"/>
      <c r="V89" s="16"/>
      <c r="W89" s="17">
        <v>10</v>
      </c>
      <c r="X89" s="16"/>
      <c r="Y89" s="16"/>
      <c r="Z89" s="17">
        <v>5</v>
      </c>
      <c r="AA89" s="16"/>
      <c r="AB89" s="16"/>
      <c r="AC89" s="16"/>
      <c r="AD89" s="16"/>
      <c r="AE89" s="16"/>
      <c r="AF89" s="16"/>
      <c r="AG89" s="16"/>
      <c r="AH89" s="17">
        <v>5</v>
      </c>
      <c r="AI89" s="17">
        <v>1</v>
      </c>
      <c r="AJ89" s="16"/>
      <c r="AK89" s="17">
        <v>45</v>
      </c>
      <c r="AL89" s="16"/>
      <c r="AM89" s="16"/>
      <c r="AN89" s="16"/>
      <c r="AO89" s="17">
        <v>7</v>
      </c>
      <c r="AP89" s="16"/>
      <c r="AQ89" s="16"/>
      <c r="AR89" s="17">
        <v>2</v>
      </c>
      <c r="AS89" s="16"/>
      <c r="AT89" s="16"/>
      <c r="AU89" s="16"/>
      <c r="AV89" s="16"/>
      <c r="AW89" s="16"/>
      <c r="AX89" s="16"/>
      <c r="AY89" s="16"/>
      <c r="AZ89" s="16"/>
      <c r="BA89" s="17">
        <f t="shared" si="6"/>
        <v>82</v>
      </c>
      <c r="BB89" s="29">
        <f>BA89*200.004</f>
        <v>16400.327999999998</v>
      </c>
      <c r="BC89" s="26">
        <v>166.67000000000002</v>
      </c>
      <c r="BD89" s="43">
        <f t="shared" si="8"/>
        <v>13666.94</v>
      </c>
      <c r="BE89" s="36">
        <f t="shared" si="7"/>
        <v>14760.295200000002</v>
      </c>
    </row>
    <row r="90" spans="1:57" ht="24.75" customHeight="1" x14ac:dyDescent="0.25">
      <c r="A90" s="5">
        <v>86</v>
      </c>
      <c r="B90" s="38">
        <v>217</v>
      </c>
      <c r="C90" s="5" t="s">
        <v>209</v>
      </c>
      <c r="D90" s="5" t="s">
        <v>210</v>
      </c>
      <c r="E90" s="15" t="s">
        <v>48</v>
      </c>
      <c r="F90" s="16"/>
      <c r="G90" s="16"/>
      <c r="H90" s="16"/>
      <c r="I90" s="16"/>
      <c r="J90" s="16"/>
      <c r="K90" s="16"/>
      <c r="L90" s="16"/>
      <c r="M90" s="16"/>
      <c r="N90" s="16"/>
      <c r="O90" s="16"/>
      <c r="P90" s="16"/>
      <c r="Q90" s="16"/>
      <c r="R90" s="16"/>
      <c r="S90" s="16"/>
      <c r="T90" s="16"/>
      <c r="U90" s="16"/>
      <c r="V90" s="16"/>
      <c r="W90" s="17">
        <v>2</v>
      </c>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c r="AY90" s="16"/>
      <c r="AZ90" s="16"/>
      <c r="BA90" s="17">
        <f t="shared" si="6"/>
        <v>2</v>
      </c>
      <c r="BB90" s="29">
        <f>BA90*4632</f>
        <v>9264</v>
      </c>
      <c r="BC90" s="26">
        <v>3860</v>
      </c>
      <c r="BD90" s="43">
        <f t="shared" si="8"/>
        <v>7720</v>
      </c>
      <c r="BE90" s="36">
        <f t="shared" si="7"/>
        <v>8337.6</v>
      </c>
    </row>
    <row r="91" spans="1:57" ht="24.75" customHeight="1" x14ac:dyDescent="0.25">
      <c r="A91" s="5">
        <v>87</v>
      </c>
      <c r="B91" s="38">
        <v>218</v>
      </c>
      <c r="C91" s="5" t="s">
        <v>211</v>
      </c>
      <c r="D91" s="5" t="s">
        <v>212</v>
      </c>
      <c r="E91" s="15" t="s">
        <v>48</v>
      </c>
      <c r="F91" s="16"/>
      <c r="G91" s="16"/>
      <c r="H91" s="16"/>
      <c r="I91" s="16"/>
      <c r="J91" s="16"/>
      <c r="K91" s="16"/>
      <c r="L91" s="16"/>
      <c r="M91" s="16"/>
      <c r="N91" s="16"/>
      <c r="O91" s="16"/>
      <c r="P91" s="16"/>
      <c r="Q91" s="16"/>
      <c r="R91" s="16"/>
      <c r="S91" s="16"/>
      <c r="T91" s="16"/>
      <c r="U91" s="16"/>
      <c r="V91" s="16"/>
      <c r="W91" s="17">
        <v>2</v>
      </c>
      <c r="X91" s="16"/>
      <c r="Y91" s="16"/>
      <c r="Z91" s="17">
        <v>2</v>
      </c>
      <c r="AA91" s="16"/>
      <c r="AB91" s="16"/>
      <c r="AC91" s="16"/>
      <c r="AD91" s="16"/>
      <c r="AE91" s="16"/>
      <c r="AF91" s="16"/>
      <c r="AG91" s="16"/>
      <c r="AH91" s="16"/>
      <c r="AI91" s="17">
        <v>1</v>
      </c>
      <c r="AJ91" s="16"/>
      <c r="AK91" s="16"/>
      <c r="AL91" s="16"/>
      <c r="AM91" s="16"/>
      <c r="AN91" s="16"/>
      <c r="AO91" s="16"/>
      <c r="AP91" s="16"/>
      <c r="AQ91" s="16"/>
      <c r="AR91" s="16"/>
      <c r="AS91" s="16"/>
      <c r="AT91" s="16"/>
      <c r="AU91" s="16"/>
      <c r="AV91" s="16"/>
      <c r="AW91" s="16"/>
      <c r="AX91" s="16"/>
      <c r="AY91" s="16"/>
      <c r="AZ91" s="16"/>
      <c r="BA91" s="17">
        <f t="shared" si="6"/>
        <v>5</v>
      </c>
      <c r="BB91" s="29">
        <f>BA91*4632</f>
        <v>23160</v>
      </c>
      <c r="BC91" s="26">
        <v>3860</v>
      </c>
      <c r="BD91" s="43">
        <f t="shared" si="8"/>
        <v>19300</v>
      </c>
      <c r="BE91" s="36">
        <f t="shared" si="7"/>
        <v>20844</v>
      </c>
    </row>
    <row r="92" spans="1:57" ht="24.75" customHeight="1" x14ac:dyDescent="0.25">
      <c r="A92" s="5">
        <v>88</v>
      </c>
      <c r="B92" s="38">
        <v>222</v>
      </c>
      <c r="C92" s="5" t="s">
        <v>213</v>
      </c>
      <c r="D92" s="5" t="s">
        <v>214</v>
      </c>
      <c r="E92" s="15" t="s">
        <v>48</v>
      </c>
      <c r="F92" s="16"/>
      <c r="G92" s="16"/>
      <c r="H92" s="16"/>
      <c r="I92" s="16"/>
      <c r="J92" s="16"/>
      <c r="K92" s="16"/>
      <c r="L92" s="16"/>
      <c r="M92" s="16"/>
      <c r="N92" s="16"/>
      <c r="O92" s="16"/>
      <c r="P92" s="16"/>
      <c r="Q92" s="16"/>
      <c r="R92" s="16"/>
      <c r="S92" s="16"/>
      <c r="T92" s="16"/>
      <c r="U92" s="16"/>
      <c r="V92" s="16"/>
      <c r="W92" s="17">
        <v>4</v>
      </c>
      <c r="X92" s="16"/>
      <c r="Y92" s="16"/>
      <c r="Z92" s="17">
        <v>1</v>
      </c>
      <c r="AA92" s="16"/>
      <c r="AB92" s="16"/>
      <c r="AC92" s="16"/>
      <c r="AD92" s="16"/>
      <c r="AE92" s="16"/>
      <c r="AF92" s="16"/>
      <c r="AG92" s="16"/>
      <c r="AH92" s="17">
        <v>1</v>
      </c>
      <c r="AI92" s="16"/>
      <c r="AJ92" s="16"/>
      <c r="AK92" s="16"/>
      <c r="AL92" s="16"/>
      <c r="AM92" s="16"/>
      <c r="AN92" s="16"/>
      <c r="AO92" s="17">
        <v>1</v>
      </c>
      <c r="AP92" s="16"/>
      <c r="AQ92" s="16"/>
      <c r="AR92" s="16"/>
      <c r="AS92" s="16"/>
      <c r="AT92" s="16"/>
      <c r="AU92" s="16"/>
      <c r="AV92" s="16"/>
      <c r="AW92" s="16"/>
      <c r="AX92" s="16"/>
      <c r="AY92" s="16"/>
      <c r="AZ92" s="16"/>
      <c r="BA92" s="17">
        <f t="shared" si="6"/>
        <v>7</v>
      </c>
      <c r="BB92" s="29">
        <f>BA92*4000.00857142857</f>
        <v>28000.05999999999</v>
      </c>
      <c r="BC92" s="26">
        <v>3333.3414285714284</v>
      </c>
      <c r="BD92" s="43">
        <f t="shared" si="8"/>
        <v>23333.39</v>
      </c>
      <c r="BE92" s="36">
        <f t="shared" si="7"/>
        <v>25200.0612</v>
      </c>
    </row>
    <row r="93" spans="1:57" ht="24.75" customHeight="1" x14ac:dyDescent="0.25">
      <c r="A93" s="5">
        <v>89</v>
      </c>
      <c r="B93" s="38">
        <v>223</v>
      </c>
      <c r="C93" s="5" t="s">
        <v>215</v>
      </c>
      <c r="D93" s="5" t="s">
        <v>216</v>
      </c>
      <c r="E93" s="15" t="s">
        <v>48</v>
      </c>
      <c r="F93" s="16"/>
      <c r="G93" s="16"/>
      <c r="H93" s="16"/>
      <c r="I93" s="16"/>
      <c r="J93" s="16"/>
      <c r="K93" s="16"/>
      <c r="L93" s="16"/>
      <c r="M93" s="16"/>
      <c r="N93" s="16"/>
      <c r="O93" s="16"/>
      <c r="P93" s="16"/>
      <c r="Q93" s="16"/>
      <c r="R93" s="16"/>
      <c r="S93" s="16"/>
      <c r="T93" s="16"/>
      <c r="U93" s="16"/>
      <c r="V93" s="16"/>
      <c r="W93" s="17">
        <v>2</v>
      </c>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7">
        <f t="shared" si="6"/>
        <v>2</v>
      </c>
      <c r="BB93" s="29">
        <f>BA93*745.32</f>
        <v>1490.64</v>
      </c>
      <c r="BC93" s="26">
        <v>621.1</v>
      </c>
      <c r="BD93" s="43">
        <f t="shared" si="8"/>
        <v>1242.2</v>
      </c>
      <c r="BE93" s="36">
        <f t="shared" si="7"/>
        <v>1341.5760000000002</v>
      </c>
    </row>
    <row r="94" spans="1:57" ht="24.75" customHeight="1" x14ac:dyDescent="0.25">
      <c r="A94" s="5">
        <v>90</v>
      </c>
      <c r="B94" s="38">
        <v>224</v>
      </c>
      <c r="C94" s="5" t="s">
        <v>217</v>
      </c>
      <c r="D94" s="5" t="s">
        <v>218</v>
      </c>
      <c r="E94" s="15" t="s">
        <v>48</v>
      </c>
      <c r="F94" s="16"/>
      <c r="G94" s="16"/>
      <c r="H94" s="16"/>
      <c r="I94" s="16"/>
      <c r="J94" s="16"/>
      <c r="K94" s="16"/>
      <c r="L94" s="16"/>
      <c r="M94" s="16"/>
      <c r="N94" s="16"/>
      <c r="O94" s="16"/>
      <c r="P94" s="16"/>
      <c r="Q94" s="16"/>
      <c r="R94" s="16"/>
      <c r="S94" s="16"/>
      <c r="T94" s="16"/>
      <c r="U94" s="16"/>
      <c r="V94" s="16"/>
      <c r="W94" s="17">
        <v>2</v>
      </c>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c r="AY94" s="16"/>
      <c r="AZ94" s="16"/>
      <c r="BA94" s="17">
        <f t="shared" si="6"/>
        <v>2</v>
      </c>
      <c r="BB94" s="29">
        <f t="shared" ref="BB94:BB100" si="10">BA94*745.32</f>
        <v>1490.64</v>
      </c>
      <c r="BC94" s="26">
        <v>621.1</v>
      </c>
      <c r="BD94" s="43">
        <f t="shared" si="8"/>
        <v>1242.2</v>
      </c>
      <c r="BE94" s="36">
        <f t="shared" si="7"/>
        <v>1341.5760000000002</v>
      </c>
    </row>
    <row r="95" spans="1:57" ht="24.75" customHeight="1" x14ac:dyDescent="0.25">
      <c r="A95" s="5">
        <v>91</v>
      </c>
      <c r="B95" s="38">
        <v>225</v>
      </c>
      <c r="C95" s="5" t="s">
        <v>219</v>
      </c>
      <c r="D95" s="5" t="s">
        <v>220</v>
      </c>
      <c r="E95" s="15" t="s">
        <v>48</v>
      </c>
      <c r="F95" s="16"/>
      <c r="G95" s="16"/>
      <c r="H95" s="16"/>
      <c r="I95" s="16"/>
      <c r="J95" s="16"/>
      <c r="K95" s="16"/>
      <c r="L95" s="16"/>
      <c r="M95" s="16"/>
      <c r="N95" s="16"/>
      <c r="O95" s="16"/>
      <c r="P95" s="16"/>
      <c r="Q95" s="16"/>
      <c r="R95" s="16"/>
      <c r="S95" s="16"/>
      <c r="T95" s="16"/>
      <c r="U95" s="16"/>
      <c r="V95" s="16"/>
      <c r="W95" s="17">
        <v>2</v>
      </c>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7">
        <f t="shared" si="6"/>
        <v>2</v>
      </c>
      <c r="BB95" s="29">
        <f t="shared" si="10"/>
        <v>1490.64</v>
      </c>
      <c r="BC95" s="26">
        <v>621.1</v>
      </c>
      <c r="BD95" s="43">
        <f t="shared" si="8"/>
        <v>1242.2</v>
      </c>
      <c r="BE95" s="36">
        <f t="shared" si="7"/>
        <v>1341.5760000000002</v>
      </c>
    </row>
    <row r="96" spans="1:57" ht="24.75" customHeight="1" x14ac:dyDescent="0.25">
      <c r="A96" s="5">
        <v>92</v>
      </c>
      <c r="B96" s="38">
        <v>226</v>
      </c>
      <c r="C96" s="5" t="s">
        <v>221</v>
      </c>
      <c r="D96" s="5" t="s">
        <v>222</v>
      </c>
      <c r="E96" s="15" t="s">
        <v>48</v>
      </c>
      <c r="F96" s="16"/>
      <c r="G96" s="16"/>
      <c r="H96" s="16"/>
      <c r="I96" s="16"/>
      <c r="J96" s="16"/>
      <c r="K96" s="16"/>
      <c r="L96" s="16"/>
      <c r="M96" s="16"/>
      <c r="N96" s="16"/>
      <c r="O96" s="16"/>
      <c r="P96" s="16"/>
      <c r="Q96" s="16"/>
      <c r="R96" s="16"/>
      <c r="S96" s="16"/>
      <c r="T96" s="16"/>
      <c r="U96" s="16"/>
      <c r="V96" s="16"/>
      <c r="W96" s="17">
        <v>2</v>
      </c>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7">
        <v>2</v>
      </c>
      <c r="AX96" s="16"/>
      <c r="AY96" s="16"/>
      <c r="AZ96" s="16"/>
      <c r="BA96" s="17">
        <f t="shared" si="6"/>
        <v>4</v>
      </c>
      <c r="BB96" s="29">
        <f t="shared" si="10"/>
        <v>2981.28</v>
      </c>
      <c r="BC96" s="26">
        <v>621.1</v>
      </c>
      <c r="BD96" s="43">
        <f t="shared" si="8"/>
        <v>2484.4</v>
      </c>
      <c r="BE96" s="36">
        <f t="shared" si="7"/>
        <v>2683.1520000000005</v>
      </c>
    </row>
    <row r="97" spans="1:57" ht="24.75" customHeight="1" x14ac:dyDescent="0.25">
      <c r="A97" s="5">
        <v>93</v>
      </c>
      <c r="B97" s="38">
        <v>227</v>
      </c>
      <c r="C97" s="5" t="s">
        <v>223</v>
      </c>
      <c r="D97" s="5" t="s">
        <v>224</v>
      </c>
      <c r="E97" s="15" t="s">
        <v>48</v>
      </c>
      <c r="F97" s="16"/>
      <c r="G97" s="16"/>
      <c r="H97" s="16"/>
      <c r="I97" s="16"/>
      <c r="J97" s="16"/>
      <c r="K97" s="16"/>
      <c r="L97" s="16"/>
      <c r="M97" s="16"/>
      <c r="N97" s="16"/>
      <c r="O97" s="16"/>
      <c r="P97" s="16"/>
      <c r="Q97" s="16"/>
      <c r="R97" s="16"/>
      <c r="S97" s="16"/>
      <c r="T97" s="16"/>
      <c r="U97" s="16"/>
      <c r="V97" s="16"/>
      <c r="W97" s="17">
        <v>2</v>
      </c>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c r="AY97" s="16"/>
      <c r="AZ97" s="16"/>
      <c r="BA97" s="17">
        <f t="shared" si="6"/>
        <v>2</v>
      </c>
      <c r="BB97" s="29">
        <f t="shared" si="10"/>
        <v>1490.64</v>
      </c>
      <c r="BC97" s="26">
        <v>621.1</v>
      </c>
      <c r="BD97" s="43">
        <f t="shared" si="8"/>
        <v>1242.2</v>
      </c>
      <c r="BE97" s="36">
        <f t="shared" si="7"/>
        <v>1341.5760000000002</v>
      </c>
    </row>
    <row r="98" spans="1:57" ht="24.75" customHeight="1" x14ac:dyDescent="0.25">
      <c r="A98" s="5">
        <v>94</v>
      </c>
      <c r="B98" s="38">
        <v>228</v>
      </c>
      <c r="C98" s="5" t="s">
        <v>225</v>
      </c>
      <c r="D98" s="5" t="s">
        <v>329</v>
      </c>
      <c r="E98" s="15" t="s">
        <v>48</v>
      </c>
      <c r="F98" s="16"/>
      <c r="G98" s="16"/>
      <c r="H98" s="16"/>
      <c r="I98" s="16"/>
      <c r="J98" s="16"/>
      <c r="K98" s="16"/>
      <c r="L98" s="16"/>
      <c r="M98" s="16"/>
      <c r="N98" s="16"/>
      <c r="O98" s="16"/>
      <c r="P98" s="16"/>
      <c r="Q98" s="16"/>
      <c r="R98" s="16"/>
      <c r="S98" s="16"/>
      <c r="T98" s="16"/>
      <c r="U98" s="16"/>
      <c r="V98" s="16"/>
      <c r="W98" s="17">
        <v>2</v>
      </c>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7">
        <v>1</v>
      </c>
      <c r="AX98" s="16"/>
      <c r="AY98" s="16"/>
      <c r="AZ98" s="16"/>
      <c r="BA98" s="17">
        <f t="shared" si="6"/>
        <v>3</v>
      </c>
      <c r="BB98" s="29">
        <f t="shared" si="10"/>
        <v>2235.96</v>
      </c>
      <c r="BC98" s="26">
        <v>621.1</v>
      </c>
      <c r="BD98" s="43">
        <f t="shared" si="8"/>
        <v>1863.3</v>
      </c>
      <c r="BE98" s="36">
        <f t="shared" si="7"/>
        <v>2012.364</v>
      </c>
    </row>
    <row r="99" spans="1:57" ht="24.75" customHeight="1" x14ac:dyDescent="0.25">
      <c r="A99" s="5">
        <v>95</v>
      </c>
      <c r="B99" s="38">
        <v>229</v>
      </c>
      <c r="C99" s="5" t="s">
        <v>226</v>
      </c>
      <c r="D99" s="5" t="s">
        <v>227</v>
      </c>
      <c r="E99" s="15" t="s">
        <v>48</v>
      </c>
      <c r="F99" s="16"/>
      <c r="G99" s="16"/>
      <c r="H99" s="16"/>
      <c r="I99" s="16"/>
      <c r="J99" s="16"/>
      <c r="K99" s="16"/>
      <c r="L99" s="16"/>
      <c r="M99" s="16"/>
      <c r="N99" s="16"/>
      <c r="O99" s="16"/>
      <c r="P99" s="16"/>
      <c r="Q99" s="16"/>
      <c r="R99" s="16"/>
      <c r="S99" s="16"/>
      <c r="T99" s="16"/>
      <c r="U99" s="16"/>
      <c r="V99" s="16"/>
      <c r="W99" s="17">
        <v>2</v>
      </c>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7">
        <f t="shared" si="6"/>
        <v>2</v>
      </c>
      <c r="BB99" s="29">
        <f t="shared" si="10"/>
        <v>1490.64</v>
      </c>
      <c r="BC99" s="26">
        <v>621.1</v>
      </c>
      <c r="BD99" s="43">
        <f t="shared" si="8"/>
        <v>1242.2</v>
      </c>
      <c r="BE99" s="36">
        <f t="shared" si="7"/>
        <v>1341.5760000000002</v>
      </c>
    </row>
    <row r="100" spans="1:57" ht="24.75" customHeight="1" x14ac:dyDescent="0.25">
      <c r="A100" s="5">
        <v>96</v>
      </c>
      <c r="B100" s="38">
        <v>230</v>
      </c>
      <c r="C100" s="5" t="s">
        <v>228</v>
      </c>
      <c r="D100" s="5" t="s">
        <v>229</v>
      </c>
      <c r="E100" s="15" t="s">
        <v>48</v>
      </c>
      <c r="F100" s="16"/>
      <c r="G100" s="16"/>
      <c r="H100" s="16"/>
      <c r="I100" s="16"/>
      <c r="J100" s="16"/>
      <c r="K100" s="16"/>
      <c r="L100" s="16"/>
      <c r="M100" s="16"/>
      <c r="N100" s="16"/>
      <c r="O100" s="16"/>
      <c r="P100" s="16"/>
      <c r="Q100" s="16"/>
      <c r="R100" s="16"/>
      <c r="S100" s="16"/>
      <c r="T100" s="16"/>
      <c r="U100" s="16"/>
      <c r="V100" s="16"/>
      <c r="W100" s="17">
        <v>2</v>
      </c>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c r="AY100" s="16"/>
      <c r="AZ100" s="16"/>
      <c r="BA100" s="17">
        <f t="shared" si="6"/>
        <v>2</v>
      </c>
      <c r="BB100" s="29">
        <f t="shared" si="10"/>
        <v>1490.64</v>
      </c>
      <c r="BC100" s="26">
        <v>621.1</v>
      </c>
      <c r="BD100" s="43">
        <f t="shared" si="8"/>
        <v>1242.2</v>
      </c>
      <c r="BE100" s="36">
        <f t="shared" si="7"/>
        <v>1341.5760000000002</v>
      </c>
    </row>
    <row r="101" spans="1:57" ht="24.75" customHeight="1" x14ac:dyDescent="0.25">
      <c r="A101" s="5">
        <v>97</v>
      </c>
      <c r="B101" s="38">
        <v>232</v>
      </c>
      <c r="C101" s="5" t="s">
        <v>230</v>
      </c>
      <c r="D101" s="5" t="s">
        <v>231</v>
      </c>
      <c r="E101" s="15" t="s">
        <v>48</v>
      </c>
      <c r="F101" s="16"/>
      <c r="G101" s="16"/>
      <c r="H101" s="16"/>
      <c r="I101" s="16"/>
      <c r="J101" s="16"/>
      <c r="K101" s="16"/>
      <c r="L101" s="16"/>
      <c r="M101" s="16"/>
      <c r="N101" s="16"/>
      <c r="O101" s="16"/>
      <c r="P101" s="16"/>
      <c r="Q101" s="16"/>
      <c r="R101" s="16"/>
      <c r="S101" s="16"/>
      <c r="T101" s="16"/>
      <c r="U101" s="16"/>
      <c r="V101" s="16"/>
      <c r="W101" s="17">
        <v>2</v>
      </c>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c r="AY101" s="16"/>
      <c r="AZ101" s="16"/>
      <c r="BA101" s="17">
        <f t="shared" si="6"/>
        <v>2</v>
      </c>
      <c r="BB101" s="29">
        <f>BA101*2000.005</f>
        <v>4000.01</v>
      </c>
      <c r="BC101" s="26">
        <v>1666.6750000000002</v>
      </c>
      <c r="BD101" s="43">
        <f t="shared" si="8"/>
        <v>3333.35</v>
      </c>
      <c r="BE101" s="36">
        <f t="shared" si="7"/>
        <v>3600.018</v>
      </c>
    </row>
    <row r="102" spans="1:57" ht="24.75" customHeight="1" x14ac:dyDescent="0.25">
      <c r="A102" s="5">
        <v>98</v>
      </c>
      <c r="B102" s="38">
        <v>236</v>
      </c>
      <c r="C102" s="5" t="s">
        <v>232</v>
      </c>
      <c r="D102" s="5" t="s">
        <v>233</v>
      </c>
      <c r="E102" s="15" t="s">
        <v>48</v>
      </c>
      <c r="F102" s="16"/>
      <c r="G102" s="16"/>
      <c r="H102" s="16"/>
      <c r="I102" s="16"/>
      <c r="J102" s="16"/>
      <c r="K102" s="16"/>
      <c r="L102" s="16"/>
      <c r="M102" s="16"/>
      <c r="N102" s="16"/>
      <c r="O102" s="16"/>
      <c r="P102" s="16"/>
      <c r="Q102" s="16"/>
      <c r="R102" s="16"/>
      <c r="S102" s="17">
        <v>6</v>
      </c>
      <c r="T102" s="17">
        <v>30</v>
      </c>
      <c r="U102" s="16"/>
      <c r="V102" s="16"/>
      <c r="W102" s="17">
        <v>4</v>
      </c>
      <c r="X102" s="16"/>
      <c r="Y102" s="16"/>
      <c r="Z102" s="16"/>
      <c r="AA102" s="16"/>
      <c r="AB102" s="17">
        <v>40</v>
      </c>
      <c r="AC102" s="16"/>
      <c r="AD102" s="16"/>
      <c r="AE102" s="16"/>
      <c r="AF102" s="16"/>
      <c r="AG102" s="16"/>
      <c r="AH102" s="16"/>
      <c r="AI102" s="16"/>
      <c r="AJ102" s="16"/>
      <c r="AK102" s="16"/>
      <c r="AL102" s="16"/>
      <c r="AM102" s="16"/>
      <c r="AN102" s="16"/>
      <c r="AO102" s="16"/>
      <c r="AP102" s="16"/>
      <c r="AQ102" s="16"/>
      <c r="AR102" s="16"/>
      <c r="AS102" s="16"/>
      <c r="AT102" s="16"/>
      <c r="AU102" s="16"/>
      <c r="AV102" s="16"/>
      <c r="AW102" s="17">
        <v>10</v>
      </c>
      <c r="AX102" s="16"/>
      <c r="AY102" s="16"/>
      <c r="AZ102" s="16"/>
      <c r="BA102" s="17">
        <f t="shared" ref="BA102:BA133" si="11">SUM(F102:AZ102)</f>
        <v>90</v>
      </c>
      <c r="BB102" s="29">
        <f>BA102*865.2</f>
        <v>77868</v>
      </c>
      <c r="BC102" s="26">
        <v>721</v>
      </c>
      <c r="BD102" s="43">
        <f t="shared" si="8"/>
        <v>64890</v>
      </c>
      <c r="BE102" s="36">
        <f t="shared" si="7"/>
        <v>70081.200000000012</v>
      </c>
    </row>
    <row r="103" spans="1:57" ht="24.75" customHeight="1" x14ac:dyDescent="0.25">
      <c r="A103" s="5">
        <v>99</v>
      </c>
      <c r="B103" s="38">
        <v>237</v>
      </c>
      <c r="C103" s="5" t="s">
        <v>234</v>
      </c>
      <c r="D103" s="5" t="s">
        <v>235</v>
      </c>
      <c r="E103" s="15" t="s">
        <v>48</v>
      </c>
      <c r="F103" s="16"/>
      <c r="G103" s="16"/>
      <c r="H103" s="16"/>
      <c r="I103" s="16"/>
      <c r="J103" s="16"/>
      <c r="K103" s="16"/>
      <c r="L103" s="16"/>
      <c r="M103" s="16"/>
      <c r="N103" s="16"/>
      <c r="O103" s="16"/>
      <c r="P103" s="16"/>
      <c r="Q103" s="16"/>
      <c r="R103" s="16"/>
      <c r="S103" s="16"/>
      <c r="T103" s="16"/>
      <c r="U103" s="16"/>
      <c r="V103" s="16"/>
      <c r="W103" s="17">
        <v>4</v>
      </c>
      <c r="X103" s="16"/>
      <c r="Y103" s="16"/>
      <c r="Z103" s="16"/>
      <c r="AA103" s="16"/>
      <c r="AB103" s="16"/>
      <c r="AC103" s="16"/>
      <c r="AD103" s="16"/>
      <c r="AE103" s="16"/>
      <c r="AF103" s="16"/>
      <c r="AG103" s="16"/>
      <c r="AH103" s="17">
        <v>2</v>
      </c>
      <c r="AI103" s="16"/>
      <c r="AJ103" s="16"/>
      <c r="AK103" s="16"/>
      <c r="AL103" s="16"/>
      <c r="AM103" s="16"/>
      <c r="AN103" s="16"/>
      <c r="AO103" s="16"/>
      <c r="AP103" s="16"/>
      <c r="AQ103" s="16"/>
      <c r="AR103" s="16"/>
      <c r="AS103" s="16"/>
      <c r="AT103" s="16"/>
      <c r="AU103" s="16"/>
      <c r="AV103" s="16"/>
      <c r="AW103" s="16"/>
      <c r="AX103" s="16"/>
      <c r="AY103" s="16"/>
      <c r="AZ103" s="16"/>
      <c r="BA103" s="17">
        <f t="shared" si="11"/>
        <v>6</v>
      </c>
      <c r="BB103" s="29">
        <f>BA103*2000.00333333333</f>
        <v>12000.019999999979</v>
      </c>
      <c r="BC103" s="26">
        <v>1666.67</v>
      </c>
      <c r="BD103" s="43">
        <f t="shared" si="8"/>
        <v>10000.02</v>
      </c>
      <c r="BE103" s="36">
        <f t="shared" si="7"/>
        <v>10800.021600000002</v>
      </c>
    </row>
    <row r="104" spans="1:57" ht="24.75" customHeight="1" x14ac:dyDescent="0.25">
      <c r="A104" s="5">
        <v>100</v>
      </c>
      <c r="B104" s="38">
        <v>238</v>
      </c>
      <c r="C104" s="5" t="s">
        <v>236</v>
      </c>
      <c r="D104" s="5" t="s">
        <v>237</v>
      </c>
      <c r="E104" s="15" t="s">
        <v>48</v>
      </c>
      <c r="F104" s="16"/>
      <c r="G104" s="16"/>
      <c r="H104" s="16"/>
      <c r="I104" s="16"/>
      <c r="J104" s="16"/>
      <c r="K104" s="16"/>
      <c r="L104" s="16"/>
      <c r="M104" s="16"/>
      <c r="N104" s="16"/>
      <c r="O104" s="16"/>
      <c r="P104" s="16"/>
      <c r="Q104" s="16"/>
      <c r="R104" s="16"/>
      <c r="S104" s="16"/>
      <c r="T104" s="16"/>
      <c r="U104" s="16"/>
      <c r="V104" s="16"/>
      <c r="W104" s="17">
        <v>10</v>
      </c>
      <c r="X104" s="16"/>
      <c r="Y104" s="16"/>
      <c r="Z104" s="17">
        <v>1</v>
      </c>
      <c r="AA104" s="16"/>
      <c r="AB104" s="16"/>
      <c r="AC104" s="16"/>
      <c r="AD104" s="16"/>
      <c r="AE104" s="16"/>
      <c r="AF104" s="16"/>
      <c r="AG104" s="16"/>
      <c r="AH104" s="16"/>
      <c r="AI104" s="16"/>
      <c r="AJ104" s="16"/>
      <c r="AK104" s="17">
        <v>2</v>
      </c>
      <c r="AL104" s="16"/>
      <c r="AM104" s="16"/>
      <c r="AN104" s="16"/>
      <c r="AO104" s="16"/>
      <c r="AP104" s="16"/>
      <c r="AQ104" s="16"/>
      <c r="AR104" s="16"/>
      <c r="AS104" s="16"/>
      <c r="AT104" s="16"/>
      <c r="AU104" s="16"/>
      <c r="AV104" s="16"/>
      <c r="AW104" s="16"/>
      <c r="AX104" s="16"/>
      <c r="AY104" s="16"/>
      <c r="AZ104" s="16"/>
      <c r="BA104" s="17">
        <f t="shared" si="11"/>
        <v>13</v>
      </c>
      <c r="BB104" s="29">
        <f>BA104*2000.00384615385</f>
        <v>26000.05000000005</v>
      </c>
      <c r="BC104" s="26">
        <v>1666.6699999999998</v>
      </c>
      <c r="BD104" s="43">
        <f t="shared" si="8"/>
        <v>21666.71</v>
      </c>
      <c r="BE104" s="36">
        <f t="shared" si="7"/>
        <v>23400.0468</v>
      </c>
    </row>
    <row r="105" spans="1:57" ht="24.75" customHeight="1" x14ac:dyDescent="0.25">
      <c r="A105" s="5">
        <v>101</v>
      </c>
      <c r="B105" s="38">
        <v>239</v>
      </c>
      <c r="C105" s="5" t="s">
        <v>238</v>
      </c>
      <c r="D105" s="5" t="s">
        <v>239</v>
      </c>
      <c r="E105" s="15" t="s">
        <v>48</v>
      </c>
      <c r="F105" s="16"/>
      <c r="G105" s="16"/>
      <c r="H105" s="16"/>
      <c r="I105" s="16"/>
      <c r="J105" s="16"/>
      <c r="K105" s="16"/>
      <c r="L105" s="16"/>
      <c r="M105" s="16"/>
      <c r="N105" s="16"/>
      <c r="O105" s="16"/>
      <c r="P105" s="16"/>
      <c r="Q105" s="16"/>
      <c r="R105" s="16"/>
      <c r="S105" s="16"/>
      <c r="T105" s="16"/>
      <c r="U105" s="16"/>
      <c r="V105" s="16"/>
      <c r="W105" s="17">
        <v>10</v>
      </c>
      <c r="X105" s="16"/>
      <c r="Y105" s="16"/>
      <c r="Z105" s="17">
        <v>1</v>
      </c>
      <c r="AA105" s="16"/>
      <c r="AB105" s="16"/>
      <c r="AC105" s="16"/>
      <c r="AD105" s="16"/>
      <c r="AE105" s="16"/>
      <c r="AF105" s="16"/>
      <c r="AG105" s="16"/>
      <c r="AH105" s="17">
        <v>4</v>
      </c>
      <c r="AI105" s="16"/>
      <c r="AJ105" s="16"/>
      <c r="AK105" s="17">
        <v>2</v>
      </c>
      <c r="AL105" s="16"/>
      <c r="AM105" s="16"/>
      <c r="AN105" s="16"/>
      <c r="AO105" s="16"/>
      <c r="AP105" s="16"/>
      <c r="AQ105" s="16"/>
      <c r="AR105" s="16"/>
      <c r="AS105" s="16"/>
      <c r="AT105" s="16"/>
      <c r="AU105" s="16"/>
      <c r="AV105" s="16"/>
      <c r="AW105" s="16"/>
      <c r="AX105" s="16"/>
      <c r="AY105" s="16"/>
      <c r="AZ105" s="16"/>
      <c r="BA105" s="17">
        <f t="shared" si="11"/>
        <v>17</v>
      </c>
      <c r="BB105" s="29">
        <f>BA105*2000.00411764706</f>
        <v>34000.070000000022</v>
      </c>
      <c r="BC105" s="26">
        <v>1666.670588235294</v>
      </c>
      <c r="BD105" s="43">
        <f t="shared" si="8"/>
        <v>28333.4</v>
      </c>
      <c r="BE105" s="36">
        <f t="shared" si="7"/>
        <v>30600.072000000004</v>
      </c>
    </row>
    <row r="106" spans="1:57" ht="24.75" customHeight="1" x14ac:dyDescent="0.25">
      <c r="A106" s="5">
        <v>102</v>
      </c>
      <c r="B106" s="38">
        <v>240</v>
      </c>
      <c r="C106" s="5" t="s">
        <v>240</v>
      </c>
      <c r="D106" s="5" t="s">
        <v>241</v>
      </c>
      <c r="E106" s="15" t="s">
        <v>48</v>
      </c>
      <c r="F106" s="16"/>
      <c r="G106" s="16"/>
      <c r="H106" s="16"/>
      <c r="I106" s="16"/>
      <c r="J106" s="16"/>
      <c r="K106" s="16"/>
      <c r="L106" s="16"/>
      <c r="M106" s="16"/>
      <c r="N106" s="16"/>
      <c r="O106" s="16"/>
      <c r="P106" s="16"/>
      <c r="Q106" s="16"/>
      <c r="R106" s="16"/>
      <c r="S106" s="16"/>
      <c r="T106" s="16"/>
      <c r="U106" s="16"/>
      <c r="V106" s="16"/>
      <c r="W106" s="17">
        <v>2</v>
      </c>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c r="AY106" s="16"/>
      <c r="AZ106" s="16"/>
      <c r="BA106" s="17">
        <f t="shared" si="11"/>
        <v>2</v>
      </c>
      <c r="BB106" s="29">
        <f>BA106*4000.01</f>
        <v>8000.02</v>
      </c>
      <c r="BC106" s="26">
        <v>3333.3450000000003</v>
      </c>
      <c r="BD106" s="43">
        <f t="shared" si="8"/>
        <v>6666.69</v>
      </c>
      <c r="BE106" s="36">
        <f t="shared" si="7"/>
        <v>7200.0252</v>
      </c>
    </row>
    <row r="107" spans="1:57" ht="24.75" customHeight="1" x14ac:dyDescent="0.25">
      <c r="A107" s="5">
        <v>103</v>
      </c>
      <c r="B107" s="38">
        <v>241</v>
      </c>
      <c r="C107" s="5" t="s">
        <v>242</v>
      </c>
      <c r="D107" s="5" t="s">
        <v>243</v>
      </c>
      <c r="E107" s="15" t="s">
        <v>48</v>
      </c>
      <c r="F107" s="16"/>
      <c r="G107" s="16"/>
      <c r="H107" s="16"/>
      <c r="I107" s="16"/>
      <c r="J107" s="16"/>
      <c r="K107" s="16"/>
      <c r="L107" s="16"/>
      <c r="M107" s="16"/>
      <c r="N107" s="16"/>
      <c r="O107" s="16"/>
      <c r="P107" s="16"/>
      <c r="Q107" s="16"/>
      <c r="R107" s="16"/>
      <c r="S107" s="16"/>
      <c r="T107" s="16"/>
      <c r="U107" s="16"/>
      <c r="V107" s="16"/>
      <c r="W107" s="17">
        <v>2</v>
      </c>
      <c r="X107" s="16"/>
      <c r="Y107" s="16"/>
      <c r="Z107" s="16"/>
      <c r="AA107" s="16"/>
      <c r="AB107" s="16"/>
      <c r="AC107" s="16"/>
      <c r="AD107" s="16"/>
      <c r="AE107" s="16"/>
      <c r="AF107" s="16"/>
      <c r="AG107" s="16"/>
      <c r="AH107" s="16"/>
      <c r="AI107" s="16"/>
      <c r="AJ107" s="16"/>
      <c r="AK107" s="17">
        <v>2</v>
      </c>
      <c r="AL107" s="16"/>
      <c r="AM107" s="16"/>
      <c r="AN107" s="16"/>
      <c r="AO107" s="16"/>
      <c r="AP107" s="16"/>
      <c r="AQ107" s="16"/>
      <c r="AR107" s="16"/>
      <c r="AS107" s="16"/>
      <c r="AT107" s="16"/>
      <c r="AU107" s="16"/>
      <c r="AV107" s="16"/>
      <c r="AW107" s="16"/>
      <c r="AX107" s="16"/>
      <c r="AY107" s="16"/>
      <c r="AZ107" s="16"/>
      <c r="BA107" s="17">
        <f t="shared" si="11"/>
        <v>4</v>
      </c>
      <c r="BB107" s="29">
        <f>BA107*3000</f>
        <v>12000</v>
      </c>
      <c r="BC107" s="26">
        <v>2500</v>
      </c>
      <c r="BD107" s="43">
        <f t="shared" si="8"/>
        <v>10000</v>
      </c>
      <c r="BE107" s="36">
        <f t="shared" si="7"/>
        <v>10800</v>
      </c>
    </row>
    <row r="108" spans="1:57" ht="24.75" customHeight="1" x14ac:dyDescent="0.25">
      <c r="A108" s="5">
        <v>104</v>
      </c>
      <c r="B108" s="38">
        <v>243</v>
      </c>
      <c r="C108" s="5" t="s">
        <v>244</v>
      </c>
      <c r="D108" s="5" t="s">
        <v>245</v>
      </c>
      <c r="E108" s="15" t="s">
        <v>48</v>
      </c>
      <c r="F108" s="16"/>
      <c r="G108" s="16"/>
      <c r="H108" s="16"/>
      <c r="I108" s="16"/>
      <c r="J108" s="16"/>
      <c r="K108" s="16"/>
      <c r="L108" s="16"/>
      <c r="M108" s="16"/>
      <c r="N108" s="16"/>
      <c r="O108" s="16"/>
      <c r="P108" s="16"/>
      <c r="Q108" s="16"/>
      <c r="R108" s="16"/>
      <c r="S108" s="16"/>
      <c r="T108" s="16"/>
      <c r="U108" s="16"/>
      <c r="V108" s="16"/>
      <c r="W108" s="17">
        <v>2</v>
      </c>
      <c r="X108" s="16"/>
      <c r="Y108" s="16"/>
      <c r="Z108" s="16"/>
      <c r="AA108" s="16"/>
      <c r="AB108" s="16"/>
      <c r="AC108" s="16"/>
      <c r="AD108" s="16"/>
      <c r="AE108" s="16"/>
      <c r="AF108" s="16"/>
      <c r="AG108" s="16"/>
      <c r="AH108" s="16"/>
      <c r="AI108" s="16"/>
      <c r="AJ108" s="16"/>
      <c r="AK108" s="16"/>
      <c r="AL108" s="16"/>
      <c r="AM108" s="17">
        <v>1</v>
      </c>
      <c r="AN108" s="16"/>
      <c r="AO108" s="16"/>
      <c r="AP108" s="16"/>
      <c r="AQ108" s="16"/>
      <c r="AR108" s="16"/>
      <c r="AS108" s="16"/>
      <c r="AT108" s="16"/>
      <c r="AU108" s="16"/>
      <c r="AV108" s="16"/>
      <c r="AW108" s="16"/>
      <c r="AX108" s="16"/>
      <c r="AY108" s="16"/>
      <c r="AZ108" s="16"/>
      <c r="BA108" s="17">
        <f t="shared" si="11"/>
        <v>3</v>
      </c>
      <c r="BB108" s="29">
        <f>BA108*6000</f>
        <v>18000</v>
      </c>
      <c r="BC108" s="26">
        <v>5000</v>
      </c>
      <c r="BD108" s="43">
        <f t="shared" si="8"/>
        <v>15000</v>
      </c>
      <c r="BE108" s="36">
        <f t="shared" si="7"/>
        <v>16200.000000000002</v>
      </c>
    </row>
    <row r="109" spans="1:57" ht="24.75" customHeight="1" x14ac:dyDescent="0.25">
      <c r="A109" s="5">
        <v>105</v>
      </c>
      <c r="B109" s="38">
        <v>244</v>
      </c>
      <c r="C109" s="5" t="s">
        <v>246</v>
      </c>
      <c r="D109" s="5" t="s">
        <v>247</v>
      </c>
      <c r="E109" s="15" t="s">
        <v>48</v>
      </c>
      <c r="F109" s="16"/>
      <c r="G109" s="16"/>
      <c r="H109" s="16"/>
      <c r="I109" s="16"/>
      <c r="J109" s="16"/>
      <c r="K109" s="16"/>
      <c r="L109" s="16"/>
      <c r="M109" s="16"/>
      <c r="N109" s="16"/>
      <c r="O109" s="16"/>
      <c r="P109" s="16"/>
      <c r="Q109" s="16"/>
      <c r="R109" s="16"/>
      <c r="S109" s="16"/>
      <c r="T109" s="17">
        <v>92</v>
      </c>
      <c r="U109" s="16"/>
      <c r="V109" s="16"/>
      <c r="W109" s="17">
        <v>10</v>
      </c>
      <c r="X109" s="16"/>
      <c r="Y109" s="16"/>
      <c r="Z109" s="16"/>
      <c r="AA109" s="16"/>
      <c r="AB109" s="16"/>
      <c r="AC109" s="17">
        <v>8</v>
      </c>
      <c r="AD109" s="16"/>
      <c r="AE109" s="16"/>
      <c r="AF109" s="17">
        <v>6</v>
      </c>
      <c r="AG109" s="16"/>
      <c r="AH109" s="17">
        <v>20</v>
      </c>
      <c r="AI109" s="17">
        <v>5</v>
      </c>
      <c r="AJ109" s="16"/>
      <c r="AK109" s="16"/>
      <c r="AL109" s="16"/>
      <c r="AM109" s="16"/>
      <c r="AN109" s="17">
        <v>15</v>
      </c>
      <c r="AO109" s="16"/>
      <c r="AP109" s="16"/>
      <c r="AQ109" s="16"/>
      <c r="AR109" s="16"/>
      <c r="AS109" s="16"/>
      <c r="AT109" s="16"/>
      <c r="AU109" s="16"/>
      <c r="AV109" s="17">
        <v>5</v>
      </c>
      <c r="AW109" s="16"/>
      <c r="AX109" s="16"/>
      <c r="AY109" s="16"/>
      <c r="AZ109" s="16"/>
      <c r="BA109" s="17">
        <f t="shared" si="11"/>
        <v>161</v>
      </c>
      <c r="BB109" s="29">
        <f>BA109*100.00801242236</f>
        <v>16101.289999999959</v>
      </c>
      <c r="BC109" s="26">
        <v>83.340062111801245</v>
      </c>
      <c r="BD109" s="43">
        <f t="shared" si="8"/>
        <v>13417.75</v>
      </c>
      <c r="BE109" s="36">
        <f t="shared" si="7"/>
        <v>14491.17</v>
      </c>
    </row>
    <row r="110" spans="1:57" ht="24.75" customHeight="1" x14ac:dyDescent="0.25">
      <c r="A110" s="5">
        <v>106</v>
      </c>
      <c r="B110" s="38">
        <v>245</v>
      </c>
      <c r="C110" s="5" t="s">
        <v>248</v>
      </c>
      <c r="D110" s="5" t="s">
        <v>249</v>
      </c>
      <c r="E110" s="15" t="s">
        <v>48</v>
      </c>
      <c r="F110" s="16"/>
      <c r="G110" s="16"/>
      <c r="H110" s="16"/>
      <c r="I110" s="16"/>
      <c r="J110" s="16"/>
      <c r="K110" s="16"/>
      <c r="L110" s="16"/>
      <c r="M110" s="16"/>
      <c r="N110" s="16"/>
      <c r="O110" s="16"/>
      <c r="P110" s="16"/>
      <c r="Q110" s="16"/>
      <c r="R110" s="16"/>
      <c r="S110" s="17">
        <v>1</v>
      </c>
      <c r="T110" s="17">
        <v>32</v>
      </c>
      <c r="U110" s="16"/>
      <c r="V110" s="16"/>
      <c r="W110" s="17">
        <v>10</v>
      </c>
      <c r="X110" s="16"/>
      <c r="Y110" s="16"/>
      <c r="Z110" s="16"/>
      <c r="AA110" s="16"/>
      <c r="AB110" s="17">
        <v>7</v>
      </c>
      <c r="AC110" s="16"/>
      <c r="AD110" s="16"/>
      <c r="AE110" s="16"/>
      <c r="AF110" s="16"/>
      <c r="AG110" s="16"/>
      <c r="AH110" s="16"/>
      <c r="AI110" s="16"/>
      <c r="AJ110" s="16"/>
      <c r="AK110" s="17">
        <v>2</v>
      </c>
      <c r="AL110" s="16"/>
      <c r="AM110" s="16"/>
      <c r="AN110" s="16"/>
      <c r="AO110" s="16"/>
      <c r="AP110" s="16"/>
      <c r="AQ110" s="16"/>
      <c r="AR110" s="16"/>
      <c r="AS110" s="16"/>
      <c r="AT110" s="16"/>
      <c r="AU110" s="16"/>
      <c r="AV110" s="16"/>
      <c r="AW110" s="17">
        <v>2</v>
      </c>
      <c r="AX110" s="16"/>
      <c r="AY110" s="16"/>
      <c r="AZ110" s="16"/>
      <c r="BA110" s="17">
        <f t="shared" si="11"/>
        <v>54</v>
      </c>
      <c r="BB110" s="29">
        <f>BA110*1257.80407407407</f>
        <v>67921.41999999978</v>
      </c>
      <c r="BC110" s="26">
        <v>1048.1701851851851</v>
      </c>
      <c r="BD110" s="43">
        <f t="shared" si="8"/>
        <v>56601.19</v>
      </c>
      <c r="BE110" s="36">
        <f t="shared" si="7"/>
        <v>61129.285200000006</v>
      </c>
    </row>
    <row r="111" spans="1:57" ht="24.75" customHeight="1" x14ac:dyDescent="0.25">
      <c r="A111" s="5">
        <v>107</v>
      </c>
      <c r="B111" s="38">
        <v>248</v>
      </c>
      <c r="C111" s="5" t="s">
        <v>250</v>
      </c>
      <c r="D111" s="5" t="s">
        <v>251</v>
      </c>
      <c r="E111" s="15" t="s">
        <v>48</v>
      </c>
      <c r="F111" s="16"/>
      <c r="G111" s="16"/>
      <c r="H111" s="16"/>
      <c r="I111" s="16"/>
      <c r="J111" s="16"/>
      <c r="K111" s="16"/>
      <c r="L111" s="16"/>
      <c r="M111" s="16"/>
      <c r="N111" s="16"/>
      <c r="O111" s="16"/>
      <c r="P111" s="16"/>
      <c r="Q111" s="16"/>
      <c r="R111" s="16"/>
      <c r="S111" s="17">
        <v>1</v>
      </c>
      <c r="T111" s="16"/>
      <c r="U111" s="16"/>
      <c r="V111" s="16"/>
      <c r="W111" s="17">
        <v>20</v>
      </c>
      <c r="X111" s="16"/>
      <c r="Y111" s="16"/>
      <c r="Z111" s="16"/>
      <c r="AA111" s="17">
        <v>10</v>
      </c>
      <c r="AB111" s="16"/>
      <c r="AC111" s="17">
        <v>3</v>
      </c>
      <c r="AD111" s="16"/>
      <c r="AE111" s="17">
        <v>2</v>
      </c>
      <c r="AF111" s="16"/>
      <c r="AG111" s="16"/>
      <c r="AH111" s="16"/>
      <c r="AI111" s="17">
        <v>2</v>
      </c>
      <c r="AJ111" s="16"/>
      <c r="AK111" s="17">
        <v>10</v>
      </c>
      <c r="AL111" s="16"/>
      <c r="AM111" s="16"/>
      <c r="AN111" s="16"/>
      <c r="AO111" s="16"/>
      <c r="AP111" s="16"/>
      <c r="AQ111" s="16"/>
      <c r="AR111" s="16"/>
      <c r="AS111" s="16"/>
      <c r="AT111" s="16"/>
      <c r="AU111" s="16"/>
      <c r="AV111" s="16"/>
      <c r="AW111" s="16"/>
      <c r="AX111" s="16"/>
      <c r="AY111" s="16"/>
      <c r="AZ111" s="16"/>
      <c r="BA111" s="17">
        <f t="shared" si="11"/>
        <v>48</v>
      </c>
      <c r="BB111" s="29">
        <f>336*BA111</f>
        <v>16128</v>
      </c>
      <c r="BC111" s="26">
        <v>280</v>
      </c>
      <c r="BD111" s="43">
        <f t="shared" si="8"/>
        <v>13440</v>
      </c>
      <c r="BE111" s="36">
        <f t="shared" si="7"/>
        <v>14515.2</v>
      </c>
    </row>
    <row r="112" spans="1:57" ht="24.75" customHeight="1" x14ac:dyDescent="0.25">
      <c r="A112" s="5">
        <v>108</v>
      </c>
      <c r="B112" s="38">
        <v>249</v>
      </c>
      <c r="C112" s="5" t="s">
        <v>252</v>
      </c>
      <c r="D112" s="5" t="s">
        <v>253</v>
      </c>
      <c r="E112" s="15" t="s">
        <v>48</v>
      </c>
      <c r="F112" s="16"/>
      <c r="G112" s="16"/>
      <c r="H112" s="16"/>
      <c r="I112" s="16"/>
      <c r="J112" s="16"/>
      <c r="K112" s="16"/>
      <c r="L112" s="16"/>
      <c r="M112" s="16"/>
      <c r="N112" s="16"/>
      <c r="O112" s="16"/>
      <c r="P112" s="16"/>
      <c r="Q112" s="16"/>
      <c r="R112" s="16"/>
      <c r="S112" s="17">
        <v>1</v>
      </c>
      <c r="T112" s="16"/>
      <c r="U112" s="16"/>
      <c r="V112" s="16"/>
      <c r="W112" s="17">
        <v>20</v>
      </c>
      <c r="X112" s="16"/>
      <c r="Y112" s="16"/>
      <c r="Z112" s="16"/>
      <c r="AA112" s="16"/>
      <c r="AB112" s="16"/>
      <c r="AC112" s="17">
        <v>3</v>
      </c>
      <c r="AD112" s="16"/>
      <c r="AE112" s="17">
        <v>3</v>
      </c>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7">
        <f t="shared" si="11"/>
        <v>27</v>
      </c>
      <c r="BB112" s="29">
        <f>BA112*384</f>
        <v>10368</v>
      </c>
      <c r="BC112" s="26">
        <v>320</v>
      </c>
      <c r="BD112" s="43">
        <f t="shared" si="8"/>
        <v>8640</v>
      </c>
      <c r="BE112" s="36">
        <f t="shared" si="7"/>
        <v>9331.2000000000007</v>
      </c>
    </row>
    <row r="113" spans="1:57" ht="24.75" customHeight="1" x14ac:dyDescent="0.25">
      <c r="A113" s="5">
        <v>109</v>
      </c>
      <c r="B113" s="38">
        <v>252</v>
      </c>
      <c r="C113" s="5" t="s">
        <v>254</v>
      </c>
      <c r="D113" s="5" t="s">
        <v>255</v>
      </c>
      <c r="E113" s="15" t="s">
        <v>48</v>
      </c>
      <c r="F113" s="16"/>
      <c r="G113" s="16"/>
      <c r="H113" s="17">
        <v>6</v>
      </c>
      <c r="I113" s="16"/>
      <c r="J113" s="16"/>
      <c r="K113" s="16"/>
      <c r="L113" s="16"/>
      <c r="M113" s="16"/>
      <c r="N113" s="16"/>
      <c r="O113" s="16"/>
      <c r="P113" s="16"/>
      <c r="Q113" s="16"/>
      <c r="R113" s="16"/>
      <c r="S113" s="17">
        <v>1</v>
      </c>
      <c r="T113" s="17">
        <v>30</v>
      </c>
      <c r="U113" s="16"/>
      <c r="V113" s="16"/>
      <c r="W113" s="16"/>
      <c r="X113" s="16"/>
      <c r="Y113" s="16"/>
      <c r="Z113" s="16"/>
      <c r="AA113" s="17">
        <v>10</v>
      </c>
      <c r="AB113" s="17">
        <v>11</v>
      </c>
      <c r="AC113" s="16"/>
      <c r="AD113" s="16"/>
      <c r="AE113" s="16"/>
      <c r="AF113" s="16"/>
      <c r="AG113" s="16"/>
      <c r="AH113" s="16"/>
      <c r="AI113" s="16"/>
      <c r="AJ113" s="16"/>
      <c r="AK113" s="17">
        <v>2</v>
      </c>
      <c r="AL113" s="16"/>
      <c r="AM113" s="16"/>
      <c r="AN113" s="16"/>
      <c r="AO113" s="16"/>
      <c r="AP113" s="16"/>
      <c r="AQ113" s="16"/>
      <c r="AR113" s="16"/>
      <c r="AS113" s="16"/>
      <c r="AT113" s="16"/>
      <c r="AU113" s="16"/>
      <c r="AV113" s="16"/>
      <c r="AW113" s="17">
        <v>5</v>
      </c>
      <c r="AX113" s="16"/>
      <c r="AY113" s="16"/>
      <c r="AZ113" s="16"/>
      <c r="BA113" s="17">
        <f t="shared" si="11"/>
        <v>65</v>
      </c>
      <c r="BB113" s="29">
        <f>BA113*2372.4</f>
        <v>154206</v>
      </c>
      <c r="BC113" s="26">
        <v>1977</v>
      </c>
      <c r="BD113" s="43">
        <f t="shared" si="8"/>
        <v>128505</v>
      </c>
      <c r="BE113" s="36">
        <f t="shared" si="7"/>
        <v>138785.40000000002</v>
      </c>
    </row>
    <row r="114" spans="1:57" ht="24.75" customHeight="1" x14ac:dyDescent="0.25">
      <c r="A114" s="5">
        <v>110</v>
      </c>
      <c r="B114" s="38">
        <v>253</v>
      </c>
      <c r="C114" s="5" t="s">
        <v>256</v>
      </c>
      <c r="D114" s="5" t="s">
        <v>257</v>
      </c>
      <c r="E114" s="15" t="s">
        <v>48</v>
      </c>
      <c r="F114" s="16"/>
      <c r="G114" s="16"/>
      <c r="H114" s="16"/>
      <c r="I114" s="16"/>
      <c r="J114" s="16"/>
      <c r="K114" s="16"/>
      <c r="L114" s="16"/>
      <c r="M114" s="16"/>
      <c r="N114" s="16"/>
      <c r="O114" s="16"/>
      <c r="P114" s="16"/>
      <c r="Q114" s="16"/>
      <c r="R114" s="17">
        <v>6</v>
      </c>
      <c r="S114" s="17">
        <v>1</v>
      </c>
      <c r="T114" s="17">
        <v>30</v>
      </c>
      <c r="U114" s="16"/>
      <c r="V114" s="16"/>
      <c r="W114" s="16"/>
      <c r="X114" s="16"/>
      <c r="Y114" s="16"/>
      <c r="Z114" s="16"/>
      <c r="AA114" s="16"/>
      <c r="AB114" s="17">
        <v>27</v>
      </c>
      <c r="AC114" s="16"/>
      <c r="AD114" s="16"/>
      <c r="AE114" s="16"/>
      <c r="AF114" s="16"/>
      <c r="AG114" s="16"/>
      <c r="AH114" s="16"/>
      <c r="AI114" s="17">
        <v>1</v>
      </c>
      <c r="AJ114" s="16"/>
      <c r="AK114" s="16"/>
      <c r="AL114" s="16"/>
      <c r="AM114" s="16"/>
      <c r="AN114" s="16"/>
      <c r="AO114" s="16"/>
      <c r="AP114" s="16"/>
      <c r="AQ114" s="16"/>
      <c r="AR114" s="16"/>
      <c r="AS114" s="16"/>
      <c r="AT114" s="16"/>
      <c r="AU114" s="16"/>
      <c r="AV114" s="16"/>
      <c r="AW114" s="16"/>
      <c r="AX114" s="16"/>
      <c r="AY114" s="16"/>
      <c r="AZ114" s="16"/>
      <c r="BA114" s="17">
        <f t="shared" si="11"/>
        <v>65</v>
      </c>
      <c r="BB114" s="29">
        <f>BA114*2372.4</f>
        <v>154206</v>
      </c>
      <c r="BC114" s="26">
        <v>1977</v>
      </c>
      <c r="BD114" s="43">
        <f t="shared" si="8"/>
        <v>128505</v>
      </c>
      <c r="BE114" s="36">
        <f t="shared" si="7"/>
        <v>138785.40000000002</v>
      </c>
    </row>
    <row r="115" spans="1:57" ht="24.75" customHeight="1" x14ac:dyDescent="0.25">
      <c r="A115" s="5">
        <v>111</v>
      </c>
      <c r="B115" s="38">
        <v>254</v>
      </c>
      <c r="C115" s="5" t="s">
        <v>258</v>
      </c>
      <c r="D115" s="5" t="s">
        <v>259</v>
      </c>
      <c r="E115" s="15" t="s">
        <v>48</v>
      </c>
      <c r="F115" s="16"/>
      <c r="G115" s="16"/>
      <c r="H115" s="16"/>
      <c r="I115" s="16"/>
      <c r="J115" s="16"/>
      <c r="K115" s="16"/>
      <c r="L115" s="16"/>
      <c r="M115" s="16"/>
      <c r="N115" s="16"/>
      <c r="O115" s="16"/>
      <c r="P115" s="16"/>
      <c r="Q115" s="16"/>
      <c r="R115" s="16"/>
      <c r="S115" s="17">
        <v>1</v>
      </c>
      <c r="T115" s="17">
        <v>30</v>
      </c>
      <c r="U115" s="16"/>
      <c r="V115" s="16"/>
      <c r="W115" s="16"/>
      <c r="X115" s="16"/>
      <c r="Y115" s="16"/>
      <c r="Z115" s="16"/>
      <c r="AA115" s="16"/>
      <c r="AB115" s="17">
        <v>6</v>
      </c>
      <c r="AC115" s="16"/>
      <c r="AD115" s="16"/>
      <c r="AE115" s="16"/>
      <c r="AF115" s="16"/>
      <c r="AG115" s="16"/>
      <c r="AH115" s="16"/>
      <c r="AI115" s="17">
        <v>1</v>
      </c>
      <c r="AJ115" s="16"/>
      <c r="AK115" s="16"/>
      <c r="AL115" s="16"/>
      <c r="AM115" s="16"/>
      <c r="AN115" s="16"/>
      <c r="AO115" s="16"/>
      <c r="AP115" s="16"/>
      <c r="AQ115" s="16"/>
      <c r="AR115" s="16"/>
      <c r="AS115" s="16"/>
      <c r="AT115" s="16"/>
      <c r="AU115" s="16"/>
      <c r="AV115" s="16"/>
      <c r="AW115" s="16"/>
      <c r="AX115" s="16"/>
      <c r="AY115" s="16"/>
      <c r="AZ115" s="16"/>
      <c r="BA115" s="17">
        <f t="shared" si="11"/>
        <v>38</v>
      </c>
      <c r="BB115" s="29">
        <f>BA115*2372.4</f>
        <v>90151.2</v>
      </c>
      <c r="BC115" s="26">
        <v>1977</v>
      </c>
      <c r="BD115" s="43">
        <f t="shared" si="8"/>
        <v>75126</v>
      </c>
      <c r="BE115" s="36">
        <f t="shared" si="7"/>
        <v>81136.08</v>
      </c>
    </row>
    <row r="116" spans="1:57" ht="24.75" customHeight="1" x14ac:dyDescent="0.25">
      <c r="A116" s="5">
        <v>112</v>
      </c>
      <c r="B116" s="38">
        <v>255</v>
      </c>
      <c r="C116" s="5" t="s">
        <v>260</v>
      </c>
      <c r="D116" s="6" t="s">
        <v>261</v>
      </c>
      <c r="E116" s="15" t="s">
        <v>48</v>
      </c>
      <c r="F116" s="16"/>
      <c r="G116" s="16"/>
      <c r="H116" s="16"/>
      <c r="I116" s="16"/>
      <c r="J116" s="16"/>
      <c r="K116" s="16"/>
      <c r="L116" s="16"/>
      <c r="M116" s="16"/>
      <c r="N116" s="16"/>
      <c r="O116" s="16"/>
      <c r="P116" s="16"/>
      <c r="Q116" s="16"/>
      <c r="R116" s="16"/>
      <c r="S116" s="16"/>
      <c r="T116" s="17">
        <v>20</v>
      </c>
      <c r="U116" s="16"/>
      <c r="V116" s="16"/>
      <c r="W116" s="16"/>
      <c r="X116" s="16"/>
      <c r="Y116" s="16"/>
      <c r="Z116" s="16"/>
      <c r="AA116" s="16"/>
      <c r="AB116" s="17">
        <v>4</v>
      </c>
      <c r="AC116" s="16"/>
      <c r="AD116" s="16"/>
      <c r="AE116" s="16"/>
      <c r="AF116" s="16"/>
      <c r="AG116" s="16"/>
      <c r="AH116" s="16"/>
      <c r="AI116" s="17">
        <v>1</v>
      </c>
      <c r="AJ116" s="16"/>
      <c r="AK116" s="16"/>
      <c r="AL116" s="16"/>
      <c r="AM116" s="16"/>
      <c r="AN116" s="16"/>
      <c r="AO116" s="16"/>
      <c r="AP116" s="16"/>
      <c r="AQ116" s="16"/>
      <c r="AR116" s="16"/>
      <c r="AS116" s="16"/>
      <c r="AT116" s="16"/>
      <c r="AU116" s="16"/>
      <c r="AV116" s="16"/>
      <c r="AW116" s="16"/>
      <c r="AX116" s="17">
        <v>4</v>
      </c>
      <c r="AY116" s="16"/>
      <c r="AZ116" s="16"/>
      <c r="BA116" s="17">
        <f t="shared" si="11"/>
        <v>29</v>
      </c>
      <c r="BB116" s="29">
        <f>BA116*2372.4</f>
        <v>68799.600000000006</v>
      </c>
      <c r="BC116" s="26">
        <v>1977</v>
      </c>
      <c r="BD116" s="43">
        <f t="shared" si="8"/>
        <v>57333</v>
      </c>
      <c r="BE116" s="36">
        <f t="shared" si="7"/>
        <v>61919.640000000007</v>
      </c>
    </row>
    <row r="117" spans="1:57" ht="24.75" customHeight="1" x14ac:dyDescent="0.25">
      <c r="A117" s="5">
        <v>113</v>
      </c>
      <c r="B117" s="38">
        <v>263</v>
      </c>
      <c r="C117" s="5" t="s">
        <v>262</v>
      </c>
      <c r="D117" s="5" t="s">
        <v>263</v>
      </c>
      <c r="E117" s="15" t="s">
        <v>48</v>
      </c>
      <c r="F117" s="16"/>
      <c r="G117" s="16"/>
      <c r="H117" s="16"/>
      <c r="I117" s="16"/>
      <c r="J117" s="16"/>
      <c r="K117" s="16"/>
      <c r="L117" s="16"/>
      <c r="M117" s="16"/>
      <c r="N117" s="16"/>
      <c r="O117" s="16"/>
      <c r="P117" s="16"/>
      <c r="Q117" s="16"/>
      <c r="R117" s="17">
        <v>2</v>
      </c>
      <c r="S117" s="16"/>
      <c r="T117" s="16"/>
      <c r="U117" s="16"/>
      <c r="V117" s="16"/>
      <c r="W117" s="16"/>
      <c r="X117" s="16"/>
      <c r="Y117" s="16"/>
      <c r="Z117" s="16"/>
      <c r="AA117" s="16"/>
      <c r="AB117" s="17">
        <v>9</v>
      </c>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c r="BA117" s="17">
        <f t="shared" si="11"/>
        <v>11</v>
      </c>
      <c r="BB117" s="29">
        <f>BA117*1020</f>
        <v>11220</v>
      </c>
      <c r="BC117" s="26">
        <v>850</v>
      </c>
      <c r="BD117" s="43">
        <f t="shared" si="8"/>
        <v>9350</v>
      </c>
      <c r="BE117" s="36">
        <f t="shared" si="7"/>
        <v>10098</v>
      </c>
    </row>
    <row r="118" spans="1:57" ht="24.75" customHeight="1" x14ac:dyDescent="0.25">
      <c r="A118" s="5">
        <v>114</v>
      </c>
      <c r="B118" s="38">
        <v>264</v>
      </c>
      <c r="C118" s="5" t="s">
        <v>264</v>
      </c>
      <c r="D118" s="5" t="s">
        <v>265</v>
      </c>
      <c r="E118" s="15" t="s">
        <v>48</v>
      </c>
      <c r="F118" s="16"/>
      <c r="G118" s="16"/>
      <c r="H118" s="16"/>
      <c r="I118" s="16"/>
      <c r="J118" s="16"/>
      <c r="K118" s="16"/>
      <c r="L118" s="16"/>
      <c r="M118" s="16"/>
      <c r="N118" s="16"/>
      <c r="O118" s="16"/>
      <c r="P118" s="16"/>
      <c r="Q118" s="16"/>
      <c r="R118" s="16"/>
      <c r="S118" s="16"/>
      <c r="T118" s="17">
        <v>16</v>
      </c>
      <c r="U118" s="16"/>
      <c r="V118" s="16"/>
      <c r="W118" s="16"/>
      <c r="X118" s="16"/>
      <c r="Y118" s="16"/>
      <c r="Z118" s="16"/>
      <c r="AA118" s="16"/>
      <c r="AB118" s="17">
        <v>4</v>
      </c>
      <c r="AC118" s="16"/>
      <c r="AD118" s="16"/>
      <c r="AE118" s="16"/>
      <c r="AF118" s="16"/>
      <c r="AG118" s="16"/>
      <c r="AH118" s="16"/>
      <c r="AI118" s="17">
        <v>1</v>
      </c>
      <c r="AJ118" s="16"/>
      <c r="AK118" s="16"/>
      <c r="AL118" s="16"/>
      <c r="AM118" s="16"/>
      <c r="AN118" s="16"/>
      <c r="AO118" s="16"/>
      <c r="AP118" s="16"/>
      <c r="AQ118" s="16"/>
      <c r="AR118" s="16"/>
      <c r="AS118" s="16"/>
      <c r="AT118" s="16"/>
      <c r="AU118" s="16"/>
      <c r="AV118" s="16"/>
      <c r="AW118" s="16"/>
      <c r="AX118" s="16"/>
      <c r="AY118" s="16"/>
      <c r="AZ118" s="16"/>
      <c r="BA118" s="17">
        <f t="shared" si="11"/>
        <v>21</v>
      </c>
      <c r="BB118" s="29">
        <f>BA118*1801.2</f>
        <v>37825.200000000004</v>
      </c>
      <c r="BC118" s="26">
        <v>1501</v>
      </c>
      <c r="BD118" s="43">
        <f t="shared" si="8"/>
        <v>31521</v>
      </c>
      <c r="BE118" s="36">
        <f t="shared" si="7"/>
        <v>34042.68</v>
      </c>
    </row>
    <row r="119" spans="1:57" ht="24.75" customHeight="1" x14ac:dyDescent="0.25">
      <c r="A119" s="5">
        <v>115</v>
      </c>
      <c r="B119" s="38">
        <v>265</v>
      </c>
      <c r="C119" s="5" t="s">
        <v>266</v>
      </c>
      <c r="D119" s="5" t="s">
        <v>267</v>
      </c>
      <c r="E119" s="15" t="s">
        <v>48</v>
      </c>
      <c r="F119" s="16"/>
      <c r="G119" s="16"/>
      <c r="H119" s="16"/>
      <c r="I119" s="16"/>
      <c r="J119" s="16"/>
      <c r="K119" s="16"/>
      <c r="L119" s="16"/>
      <c r="M119" s="16"/>
      <c r="N119" s="16"/>
      <c r="O119" s="16"/>
      <c r="P119" s="16"/>
      <c r="Q119" s="16"/>
      <c r="R119" s="16"/>
      <c r="S119" s="16"/>
      <c r="T119" s="16"/>
      <c r="U119" s="16"/>
      <c r="V119" s="16"/>
      <c r="W119" s="16"/>
      <c r="X119" s="16"/>
      <c r="Y119" s="16"/>
      <c r="Z119" s="16"/>
      <c r="AA119" s="16"/>
      <c r="AB119" s="17">
        <v>16</v>
      </c>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7">
        <f t="shared" si="11"/>
        <v>16</v>
      </c>
      <c r="BB119" s="29">
        <f>BA119*1801.2</f>
        <v>28819.200000000001</v>
      </c>
      <c r="BC119" s="26">
        <v>1501</v>
      </c>
      <c r="BD119" s="43">
        <f t="shared" si="8"/>
        <v>24016</v>
      </c>
      <c r="BE119" s="36">
        <f t="shared" si="7"/>
        <v>25937.280000000002</v>
      </c>
    </row>
    <row r="120" spans="1:57" ht="24.75" customHeight="1" x14ac:dyDescent="0.25">
      <c r="A120" s="5">
        <v>116</v>
      </c>
      <c r="B120" s="38">
        <v>266</v>
      </c>
      <c r="C120" s="5" t="s">
        <v>268</v>
      </c>
      <c r="D120" s="5" t="s">
        <v>324</v>
      </c>
      <c r="E120" s="15" t="s">
        <v>48</v>
      </c>
      <c r="F120" s="16"/>
      <c r="G120" s="16"/>
      <c r="H120" s="16"/>
      <c r="I120" s="16"/>
      <c r="J120" s="16"/>
      <c r="K120" s="16"/>
      <c r="L120" s="16"/>
      <c r="M120" s="16"/>
      <c r="N120" s="16"/>
      <c r="O120" s="16"/>
      <c r="P120" s="16"/>
      <c r="Q120" s="16"/>
      <c r="R120" s="16"/>
      <c r="S120" s="16"/>
      <c r="T120" s="16"/>
      <c r="U120" s="16"/>
      <c r="V120" s="16"/>
      <c r="W120" s="16"/>
      <c r="X120" s="16"/>
      <c r="Y120" s="16"/>
      <c r="Z120" s="16"/>
      <c r="AA120" s="16"/>
      <c r="AB120" s="17">
        <v>10</v>
      </c>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7">
        <f t="shared" si="11"/>
        <v>10</v>
      </c>
      <c r="BB120" s="29">
        <f>BA120*5289.6</f>
        <v>52896</v>
      </c>
      <c r="BC120" s="26">
        <v>4408</v>
      </c>
      <c r="BD120" s="43">
        <f t="shared" si="8"/>
        <v>44080</v>
      </c>
      <c r="BE120" s="36">
        <f t="shared" si="7"/>
        <v>47606.400000000001</v>
      </c>
    </row>
    <row r="121" spans="1:57" ht="24.75" customHeight="1" x14ac:dyDescent="0.25">
      <c r="A121" s="5">
        <v>117</v>
      </c>
      <c r="B121" s="38">
        <v>267</v>
      </c>
      <c r="C121" s="5" t="s">
        <v>269</v>
      </c>
      <c r="D121" s="5" t="s">
        <v>270</v>
      </c>
      <c r="E121" s="15" t="s">
        <v>48</v>
      </c>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7">
        <v>5</v>
      </c>
      <c r="AF121" s="16"/>
      <c r="AG121" s="16"/>
      <c r="AH121" s="16"/>
      <c r="AI121" s="16"/>
      <c r="AJ121" s="16"/>
      <c r="AK121" s="16"/>
      <c r="AL121" s="16"/>
      <c r="AM121" s="16"/>
      <c r="AN121" s="16"/>
      <c r="AO121" s="16"/>
      <c r="AP121" s="16"/>
      <c r="AQ121" s="16"/>
      <c r="AR121" s="16"/>
      <c r="AS121" s="16"/>
      <c r="AT121" s="17">
        <v>2</v>
      </c>
      <c r="AU121" s="16"/>
      <c r="AV121" s="16"/>
      <c r="AW121" s="16"/>
      <c r="AX121" s="16"/>
      <c r="AY121" s="16"/>
      <c r="AZ121" s="16"/>
      <c r="BA121" s="17">
        <f t="shared" si="11"/>
        <v>7</v>
      </c>
      <c r="BB121" s="29">
        <f>BA121*182.531428571429</f>
        <v>1277.720000000003</v>
      </c>
      <c r="BC121" s="26">
        <v>152.10999999999999</v>
      </c>
      <c r="BD121" s="43">
        <f t="shared" si="8"/>
        <v>1064.77</v>
      </c>
      <c r="BE121" s="36">
        <f t="shared" si="7"/>
        <v>1149.9516000000001</v>
      </c>
    </row>
    <row r="122" spans="1:57" ht="24.75" customHeight="1" x14ac:dyDescent="0.25">
      <c r="A122" s="5">
        <v>118</v>
      </c>
      <c r="B122" s="38">
        <v>268</v>
      </c>
      <c r="C122" s="5" t="s">
        <v>271</v>
      </c>
      <c r="D122" s="5" t="s">
        <v>272</v>
      </c>
      <c r="E122" s="15" t="s">
        <v>48</v>
      </c>
      <c r="F122" s="16"/>
      <c r="G122" s="16"/>
      <c r="H122" s="17">
        <v>10</v>
      </c>
      <c r="I122" s="16"/>
      <c r="J122" s="16"/>
      <c r="K122" s="16"/>
      <c r="L122" s="16"/>
      <c r="M122" s="16"/>
      <c r="N122" s="16"/>
      <c r="O122" s="16"/>
      <c r="P122" s="16"/>
      <c r="Q122" s="16"/>
      <c r="R122" s="16"/>
      <c r="S122" s="17">
        <v>1</v>
      </c>
      <c r="T122" s="16"/>
      <c r="U122" s="16"/>
      <c r="V122" s="16"/>
      <c r="W122" s="17">
        <v>10</v>
      </c>
      <c r="X122" s="16"/>
      <c r="Y122" s="17">
        <v>20</v>
      </c>
      <c r="Z122" s="16"/>
      <c r="AA122" s="16"/>
      <c r="AB122" s="17">
        <v>6</v>
      </c>
      <c r="AC122" s="17">
        <v>2</v>
      </c>
      <c r="AD122" s="16"/>
      <c r="AE122" s="17">
        <v>4</v>
      </c>
      <c r="AF122" s="17">
        <v>2</v>
      </c>
      <c r="AG122" s="16"/>
      <c r="AH122" s="16"/>
      <c r="AI122" s="16"/>
      <c r="AJ122" s="16"/>
      <c r="AK122" s="16"/>
      <c r="AL122" s="16"/>
      <c r="AM122" s="16"/>
      <c r="AN122" s="16"/>
      <c r="AO122" s="16"/>
      <c r="AP122" s="16"/>
      <c r="AQ122" s="16"/>
      <c r="AR122" s="16"/>
      <c r="AS122" s="16"/>
      <c r="AT122" s="16"/>
      <c r="AU122" s="16"/>
      <c r="AV122" s="16"/>
      <c r="AW122" s="16"/>
      <c r="AX122" s="16"/>
      <c r="AY122" s="16"/>
      <c r="AZ122" s="16"/>
      <c r="BA122" s="17">
        <f t="shared" si="11"/>
        <v>55</v>
      </c>
      <c r="BB122" s="29">
        <f>BA122*168</f>
        <v>9240</v>
      </c>
      <c r="BC122" s="26">
        <v>140</v>
      </c>
      <c r="BD122" s="43">
        <f t="shared" si="8"/>
        <v>7700</v>
      </c>
      <c r="BE122" s="36">
        <f t="shared" si="7"/>
        <v>8316</v>
      </c>
    </row>
    <row r="123" spans="1:57" ht="24.75" customHeight="1" x14ac:dyDescent="0.25">
      <c r="A123" s="5">
        <v>119</v>
      </c>
      <c r="B123" s="38">
        <v>269</v>
      </c>
      <c r="C123" s="5" t="s">
        <v>273</v>
      </c>
      <c r="D123" s="5" t="s">
        <v>274</v>
      </c>
      <c r="E123" s="15" t="s">
        <v>48</v>
      </c>
      <c r="F123" s="16"/>
      <c r="G123" s="16"/>
      <c r="H123" s="16"/>
      <c r="I123" s="16"/>
      <c r="J123" s="16"/>
      <c r="K123" s="16"/>
      <c r="L123" s="16"/>
      <c r="M123" s="16"/>
      <c r="N123" s="16"/>
      <c r="O123" s="16"/>
      <c r="P123" s="16"/>
      <c r="Q123" s="16"/>
      <c r="R123" s="16"/>
      <c r="S123" s="16"/>
      <c r="T123" s="17">
        <v>10</v>
      </c>
      <c r="U123" s="16"/>
      <c r="V123" s="16"/>
      <c r="W123" s="16"/>
      <c r="X123" s="16"/>
      <c r="Y123" s="16"/>
      <c r="Z123" s="16"/>
      <c r="AA123" s="17">
        <v>10</v>
      </c>
      <c r="AB123" s="16"/>
      <c r="AC123" s="16"/>
      <c r="AD123" s="16"/>
      <c r="AE123" s="17">
        <v>2</v>
      </c>
      <c r="AF123" s="16"/>
      <c r="AG123" s="16"/>
      <c r="AH123" s="16"/>
      <c r="AI123" s="16"/>
      <c r="AJ123" s="16"/>
      <c r="AK123" s="16"/>
      <c r="AL123" s="16"/>
      <c r="AM123" s="16"/>
      <c r="AN123" s="16"/>
      <c r="AO123" s="16"/>
      <c r="AP123" s="16"/>
      <c r="AQ123" s="16"/>
      <c r="AR123" s="16"/>
      <c r="AS123" s="16"/>
      <c r="AT123" s="16"/>
      <c r="AU123" s="16"/>
      <c r="AV123" s="16"/>
      <c r="AW123" s="16"/>
      <c r="AX123" s="16"/>
      <c r="AY123" s="16"/>
      <c r="AZ123" s="16"/>
      <c r="BA123" s="17">
        <f t="shared" si="11"/>
        <v>22</v>
      </c>
      <c r="BB123" s="29">
        <f>BA123*259.2</f>
        <v>5702.4</v>
      </c>
      <c r="BC123" s="26">
        <v>216</v>
      </c>
      <c r="BD123" s="43">
        <f t="shared" si="8"/>
        <v>4752</v>
      </c>
      <c r="BE123" s="36">
        <f t="shared" si="7"/>
        <v>5132.1600000000008</v>
      </c>
    </row>
    <row r="124" spans="1:57" ht="24.75" customHeight="1" x14ac:dyDescent="0.25">
      <c r="A124" s="5">
        <v>120</v>
      </c>
      <c r="B124" s="38">
        <v>270</v>
      </c>
      <c r="C124" s="5" t="s">
        <v>275</v>
      </c>
      <c r="D124" s="5" t="s">
        <v>276</v>
      </c>
      <c r="E124" s="15" t="s">
        <v>48</v>
      </c>
      <c r="F124" s="16"/>
      <c r="G124" s="16"/>
      <c r="H124" s="16"/>
      <c r="I124" s="16"/>
      <c r="J124" s="16"/>
      <c r="K124" s="16"/>
      <c r="L124" s="16"/>
      <c r="M124" s="16"/>
      <c r="N124" s="16"/>
      <c r="O124" s="16"/>
      <c r="P124" s="16"/>
      <c r="Q124" s="16"/>
      <c r="R124" s="17">
        <v>35</v>
      </c>
      <c r="S124" s="17">
        <v>5</v>
      </c>
      <c r="T124" s="17">
        <v>30</v>
      </c>
      <c r="U124" s="16"/>
      <c r="V124" s="16"/>
      <c r="W124" s="17">
        <v>60</v>
      </c>
      <c r="X124" s="17">
        <v>5</v>
      </c>
      <c r="Y124" s="17">
        <v>20</v>
      </c>
      <c r="Z124" s="17">
        <v>3</v>
      </c>
      <c r="AA124" s="16"/>
      <c r="AB124" s="17">
        <v>31</v>
      </c>
      <c r="AC124" s="16"/>
      <c r="AD124" s="17">
        <v>4</v>
      </c>
      <c r="AE124" s="17">
        <v>20</v>
      </c>
      <c r="AF124" s="16"/>
      <c r="AG124" s="16"/>
      <c r="AH124" s="17">
        <v>10</v>
      </c>
      <c r="AI124" s="16"/>
      <c r="AJ124" s="16">
        <v>2</v>
      </c>
      <c r="AK124" s="17">
        <v>30</v>
      </c>
      <c r="AL124" s="16"/>
      <c r="AM124" s="16"/>
      <c r="AN124" s="16"/>
      <c r="AO124" s="16"/>
      <c r="AP124" s="16"/>
      <c r="AQ124" s="16"/>
      <c r="AR124" s="16"/>
      <c r="AS124" s="17">
        <v>10</v>
      </c>
      <c r="AT124" s="16"/>
      <c r="AU124" s="16"/>
      <c r="AV124" s="17">
        <v>20</v>
      </c>
      <c r="AW124" s="17">
        <v>24</v>
      </c>
      <c r="AX124" s="16"/>
      <c r="AY124" s="16"/>
      <c r="AZ124" s="16">
        <v>10</v>
      </c>
      <c r="BA124" s="17">
        <f t="shared" si="11"/>
        <v>319</v>
      </c>
      <c r="BB124" s="29">
        <f>BA124*38.9280064308682</f>
        <v>12418.034051446957</v>
      </c>
      <c r="BC124" s="26">
        <v>32.440031152647975</v>
      </c>
      <c r="BD124" s="43">
        <f t="shared" si="8"/>
        <v>10348.370000000001</v>
      </c>
      <c r="BE124" s="36">
        <f t="shared" si="7"/>
        <v>11176.239600000001</v>
      </c>
    </row>
    <row r="125" spans="1:57" ht="24.75" customHeight="1" x14ac:dyDescent="0.25">
      <c r="A125" s="5">
        <v>121</v>
      </c>
      <c r="B125" s="38">
        <v>271</v>
      </c>
      <c r="C125" s="5" t="s">
        <v>277</v>
      </c>
      <c r="D125" s="5" t="s">
        <v>278</v>
      </c>
      <c r="E125" s="15" t="s">
        <v>48</v>
      </c>
      <c r="F125" s="16"/>
      <c r="G125" s="16"/>
      <c r="H125" s="16"/>
      <c r="I125" s="16"/>
      <c r="J125" s="16"/>
      <c r="K125" s="16"/>
      <c r="L125" s="16"/>
      <c r="M125" s="16"/>
      <c r="N125" s="17">
        <v>1</v>
      </c>
      <c r="O125" s="16"/>
      <c r="P125" s="16"/>
      <c r="Q125" s="16"/>
      <c r="R125" s="16"/>
      <c r="S125" s="17">
        <v>5</v>
      </c>
      <c r="T125" s="17">
        <v>10</v>
      </c>
      <c r="U125" s="16"/>
      <c r="V125" s="16"/>
      <c r="W125" s="17">
        <v>60</v>
      </c>
      <c r="X125" s="16"/>
      <c r="Y125" s="17">
        <v>20</v>
      </c>
      <c r="Z125" s="17">
        <v>3</v>
      </c>
      <c r="AA125" s="16"/>
      <c r="AB125" s="17">
        <v>31</v>
      </c>
      <c r="AC125" s="16"/>
      <c r="AD125" s="17">
        <v>6</v>
      </c>
      <c r="AE125" s="16"/>
      <c r="AF125" s="16"/>
      <c r="AG125" s="16"/>
      <c r="AH125" s="17">
        <v>10</v>
      </c>
      <c r="AI125" s="16"/>
      <c r="AJ125" s="16">
        <v>2</v>
      </c>
      <c r="AK125" s="16"/>
      <c r="AL125" s="16"/>
      <c r="AM125" s="16"/>
      <c r="AN125" s="16"/>
      <c r="AO125" s="16"/>
      <c r="AP125" s="16"/>
      <c r="AQ125" s="16"/>
      <c r="AR125" s="16"/>
      <c r="AS125" s="16"/>
      <c r="AT125" s="17">
        <v>4</v>
      </c>
      <c r="AU125" s="16"/>
      <c r="AV125" s="16"/>
      <c r="AW125" s="17">
        <v>20</v>
      </c>
      <c r="AX125" s="16"/>
      <c r="AY125" s="16"/>
      <c r="AZ125" s="16"/>
      <c r="BA125" s="17">
        <f t="shared" si="11"/>
        <v>172</v>
      </c>
      <c r="BB125" s="29">
        <f>BA125*24.8520114942529</f>
        <v>4274.5459770114985</v>
      </c>
      <c r="BC125" s="26">
        <v>20.710057471264371</v>
      </c>
      <c r="BD125" s="43">
        <f t="shared" si="8"/>
        <v>3562.13</v>
      </c>
      <c r="BE125" s="36">
        <f t="shared" si="7"/>
        <v>3847.1004000000003</v>
      </c>
    </row>
    <row r="126" spans="1:57" ht="24.75" customHeight="1" x14ac:dyDescent="0.25">
      <c r="A126" s="5">
        <v>122</v>
      </c>
      <c r="B126" s="38">
        <v>272</v>
      </c>
      <c r="C126" s="5" t="s">
        <v>279</v>
      </c>
      <c r="D126" s="5" t="s">
        <v>280</v>
      </c>
      <c r="E126" s="15" t="s">
        <v>48</v>
      </c>
      <c r="F126" s="16"/>
      <c r="G126" s="16"/>
      <c r="H126" s="16"/>
      <c r="I126" s="16"/>
      <c r="J126" s="16"/>
      <c r="K126" s="16"/>
      <c r="L126" s="16"/>
      <c r="M126" s="16"/>
      <c r="N126" s="16"/>
      <c r="O126" s="16"/>
      <c r="P126" s="16"/>
      <c r="Q126" s="16"/>
      <c r="R126" s="16"/>
      <c r="S126" s="17">
        <v>4</v>
      </c>
      <c r="T126" s="16"/>
      <c r="U126" s="16"/>
      <c r="V126" s="16"/>
      <c r="W126" s="16"/>
      <c r="X126" s="17">
        <v>5</v>
      </c>
      <c r="Y126" s="16"/>
      <c r="Z126" s="16"/>
      <c r="AA126" s="17">
        <v>10</v>
      </c>
      <c r="AB126" s="17">
        <v>6</v>
      </c>
      <c r="AC126" s="16"/>
      <c r="AD126" s="16"/>
      <c r="AE126" s="16"/>
      <c r="AF126" s="17">
        <v>4</v>
      </c>
      <c r="AG126" s="16"/>
      <c r="AH126" s="16"/>
      <c r="AI126" s="16"/>
      <c r="AJ126" s="16"/>
      <c r="AK126" s="16"/>
      <c r="AL126" s="16"/>
      <c r="AM126" s="16"/>
      <c r="AN126" s="16"/>
      <c r="AO126" s="16"/>
      <c r="AP126" s="16"/>
      <c r="AQ126" s="16"/>
      <c r="AR126" s="16"/>
      <c r="AS126" s="16"/>
      <c r="AT126" s="16"/>
      <c r="AU126" s="16"/>
      <c r="AV126" s="16"/>
      <c r="AW126" s="16"/>
      <c r="AX126" s="16"/>
      <c r="AY126" s="16"/>
      <c r="AZ126" s="16"/>
      <c r="BA126" s="17">
        <f t="shared" si="11"/>
        <v>29</v>
      </c>
      <c r="BB126" s="29">
        <f>BA126*210</f>
        <v>6090</v>
      </c>
      <c r="BC126" s="26">
        <v>175</v>
      </c>
      <c r="BD126" s="43">
        <f t="shared" si="8"/>
        <v>5075</v>
      </c>
      <c r="BE126" s="36">
        <f t="shared" si="7"/>
        <v>5481</v>
      </c>
    </row>
    <row r="127" spans="1:57" ht="24.75" customHeight="1" x14ac:dyDescent="0.25">
      <c r="A127" s="5">
        <v>123</v>
      </c>
      <c r="B127" s="38">
        <v>273</v>
      </c>
      <c r="C127" s="5" t="s">
        <v>281</v>
      </c>
      <c r="D127" s="5" t="s">
        <v>282</v>
      </c>
      <c r="E127" s="15" t="s">
        <v>48</v>
      </c>
      <c r="F127" s="16"/>
      <c r="G127" s="16"/>
      <c r="H127" s="16"/>
      <c r="I127" s="16"/>
      <c r="J127" s="16"/>
      <c r="K127" s="16"/>
      <c r="L127" s="16"/>
      <c r="M127" s="16"/>
      <c r="N127" s="16"/>
      <c r="O127" s="16"/>
      <c r="P127" s="16"/>
      <c r="Q127" s="16"/>
      <c r="R127" s="16"/>
      <c r="S127" s="16"/>
      <c r="T127" s="17">
        <v>42</v>
      </c>
      <c r="U127" s="16"/>
      <c r="V127" s="16"/>
      <c r="W127" s="16"/>
      <c r="X127" s="17">
        <v>5</v>
      </c>
      <c r="Y127" s="16"/>
      <c r="Z127" s="16"/>
      <c r="AA127" s="16"/>
      <c r="AB127" s="17">
        <v>6</v>
      </c>
      <c r="AC127" s="17">
        <v>5</v>
      </c>
      <c r="AD127" s="16"/>
      <c r="AE127" s="16"/>
      <c r="AF127" s="17">
        <v>4</v>
      </c>
      <c r="AG127" s="16"/>
      <c r="AH127" s="16"/>
      <c r="AI127" s="16"/>
      <c r="AJ127" s="16"/>
      <c r="AK127" s="16"/>
      <c r="AL127" s="16"/>
      <c r="AM127" s="16"/>
      <c r="AN127" s="16"/>
      <c r="AO127" s="16"/>
      <c r="AP127" s="16"/>
      <c r="AQ127" s="16"/>
      <c r="AR127" s="16"/>
      <c r="AS127" s="16"/>
      <c r="AT127" s="16"/>
      <c r="AU127" s="16"/>
      <c r="AV127" s="16"/>
      <c r="AW127" s="16"/>
      <c r="AX127" s="16"/>
      <c r="AY127" s="16"/>
      <c r="AZ127" s="16"/>
      <c r="BA127" s="17">
        <f t="shared" si="11"/>
        <v>62</v>
      </c>
      <c r="BB127" s="29">
        <f>BA127*210</f>
        <v>13020</v>
      </c>
      <c r="BC127" s="26">
        <v>175</v>
      </c>
      <c r="BD127" s="43">
        <f t="shared" si="8"/>
        <v>10850</v>
      </c>
      <c r="BE127" s="36">
        <f t="shared" si="7"/>
        <v>11718</v>
      </c>
    </row>
    <row r="128" spans="1:57" ht="24.75" customHeight="1" x14ac:dyDescent="0.25">
      <c r="A128" s="5">
        <v>124</v>
      </c>
      <c r="B128" s="38">
        <v>274</v>
      </c>
      <c r="C128" s="5" t="s">
        <v>283</v>
      </c>
      <c r="D128" s="5" t="s">
        <v>284</v>
      </c>
      <c r="E128" s="15" t="s">
        <v>48</v>
      </c>
      <c r="F128" s="16"/>
      <c r="G128" s="16"/>
      <c r="H128" s="16"/>
      <c r="I128" s="16"/>
      <c r="J128" s="16"/>
      <c r="K128" s="16"/>
      <c r="L128" s="16"/>
      <c r="M128" s="16"/>
      <c r="N128" s="16"/>
      <c r="O128" s="16"/>
      <c r="P128" s="16"/>
      <c r="Q128" s="16"/>
      <c r="R128" s="16"/>
      <c r="S128" s="17">
        <v>2</v>
      </c>
      <c r="T128" s="16"/>
      <c r="U128" s="16"/>
      <c r="V128" s="16"/>
      <c r="W128" s="16"/>
      <c r="X128" s="17">
        <v>5</v>
      </c>
      <c r="Y128" s="16"/>
      <c r="Z128" s="16"/>
      <c r="AA128" s="16"/>
      <c r="AB128" s="17">
        <v>20</v>
      </c>
      <c r="AC128" s="16"/>
      <c r="AD128" s="16"/>
      <c r="AE128" s="16"/>
      <c r="AF128" s="16"/>
      <c r="AG128" s="16"/>
      <c r="AH128" s="16"/>
      <c r="AI128" s="16"/>
      <c r="AJ128" s="16"/>
      <c r="AK128" s="17">
        <v>10</v>
      </c>
      <c r="AL128" s="16"/>
      <c r="AM128" s="16"/>
      <c r="AN128" s="16"/>
      <c r="AO128" s="16"/>
      <c r="AP128" s="16"/>
      <c r="AQ128" s="16"/>
      <c r="AR128" s="16"/>
      <c r="AS128" s="16"/>
      <c r="AT128" s="16"/>
      <c r="AU128" s="16"/>
      <c r="AV128" s="16"/>
      <c r="AW128" s="16"/>
      <c r="AX128" s="16"/>
      <c r="AY128" s="16"/>
      <c r="AZ128" s="16"/>
      <c r="BA128" s="17">
        <f t="shared" si="11"/>
        <v>37</v>
      </c>
      <c r="BB128" s="29">
        <f>BA128*2982</f>
        <v>110334</v>
      </c>
      <c r="BC128" s="26">
        <v>2485</v>
      </c>
      <c r="BD128" s="43">
        <f t="shared" si="8"/>
        <v>91945</v>
      </c>
      <c r="BE128" s="36">
        <f t="shared" si="7"/>
        <v>99300.6</v>
      </c>
    </row>
    <row r="129" spans="1:57" ht="24.75" customHeight="1" x14ac:dyDescent="0.25">
      <c r="A129" s="5">
        <v>125</v>
      </c>
      <c r="B129" s="38">
        <v>275</v>
      </c>
      <c r="C129" s="5" t="s">
        <v>285</v>
      </c>
      <c r="D129" s="5" t="s">
        <v>286</v>
      </c>
      <c r="E129" s="15" t="s">
        <v>48</v>
      </c>
      <c r="F129" s="16"/>
      <c r="G129" s="16"/>
      <c r="H129" s="16"/>
      <c r="I129" s="16"/>
      <c r="J129" s="16"/>
      <c r="K129" s="16"/>
      <c r="L129" s="16"/>
      <c r="M129" s="16"/>
      <c r="N129" s="16"/>
      <c r="O129" s="16"/>
      <c r="P129" s="16"/>
      <c r="Q129" s="16"/>
      <c r="R129" s="16"/>
      <c r="S129" s="16"/>
      <c r="T129" s="17">
        <v>10</v>
      </c>
      <c r="U129" s="16"/>
      <c r="V129" s="16"/>
      <c r="W129" s="16"/>
      <c r="X129" s="16"/>
      <c r="Y129" s="16"/>
      <c r="Z129" s="16"/>
      <c r="AA129" s="16"/>
      <c r="AB129" s="17">
        <v>28</v>
      </c>
      <c r="AC129" s="17">
        <v>7</v>
      </c>
      <c r="AD129" s="16"/>
      <c r="AE129" s="16"/>
      <c r="AF129" s="16"/>
      <c r="AG129" s="16"/>
      <c r="AH129" s="16"/>
      <c r="AI129" s="16"/>
      <c r="AJ129" s="16"/>
      <c r="AK129" s="16"/>
      <c r="AL129" s="16"/>
      <c r="AM129" s="16"/>
      <c r="AN129" s="16"/>
      <c r="AO129" s="16"/>
      <c r="AP129" s="16"/>
      <c r="AQ129" s="16"/>
      <c r="AR129" s="16"/>
      <c r="AS129" s="16"/>
      <c r="AT129" s="16"/>
      <c r="AU129" s="17">
        <v>5</v>
      </c>
      <c r="AV129" s="16"/>
      <c r="AW129" s="16"/>
      <c r="AX129" s="16"/>
      <c r="AY129" s="16"/>
      <c r="AZ129" s="16"/>
      <c r="BA129" s="17">
        <f t="shared" si="11"/>
        <v>50</v>
      </c>
      <c r="BB129" s="29">
        <f>BA129*286.068</f>
        <v>14303.4</v>
      </c>
      <c r="BC129" s="26">
        <v>238.39</v>
      </c>
      <c r="BD129" s="43">
        <f t="shared" si="8"/>
        <v>11919.5</v>
      </c>
      <c r="BE129" s="36">
        <f t="shared" si="7"/>
        <v>12873.060000000001</v>
      </c>
    </row>
    <row r="130" spans="1:57" ht="24.75" customHeight="1" x14ac:dyDescent="0.25">
      <c r="A130" s="5">
        <v>126</v>
      </c>
      <c r="B130" s="38">
        <v>278</v>
      </c>
      <c r="C130" s="5" t="s">
        <v>287</v>
      </c>
      <c r="D130" s="5" t="s">
        <v>288</v>
      </c>
      <c r="E130" s="15" t="s">
        <v>48</v>
      </c>
      <c r="F130" s="16"/>
      <c r="G130" s="16"/>
      <c r="H130" s="16"/>
      <c r="I130" s="16"/>
      <c r="J130" s="16"/>
      <c r="K130" s="16"/>
      <c r="L130" s="16"/>
      <c r="M130" s="16"/>
      <c r="N130" s="16"/>
      <c r="O130" s="17">
        <v>2</v>
      </c>
      <c r="P130" s="16"/>
      <c r="Q130" s="16"/>
      <c r="R130" s="17">
        <v>15</v>
      </c>
      <c r="S130" s="17">
        <v>5</v>
      </c>
      <c r="T130" s="17">
        <v>40</v>
      </c>
      <c r="U130" s="16"/>
      <c r="V130" s="16"/>
      <c r="W130" s="17">
        <v>30</v>
      </c>
      <c r="X130" s="17">
        <v>15</v>
      </c>
      <c r="Y130" s="17">
        <v>10</v>
      </c>
      <c r="Z130" s="16"/>
      <c r="AA130" s="16"/>
      <c r="AB130" s="17">
        <v>61</v>
      </c>
      <c r="AC130" s="17">
        <v>2</v>
      </c>
      <c r="AD130" s="16"/>
      <c r="AE130" s="16"/>
      <c r="AF130" s="16"/>
      <c r="AG130" s="17">
        <v>2</v>
      </c>
      <c r="AH130" s="16"/>
      <c r="AI130" s="17">
        <v>10</v>
      </c>
      <c r="AJ130" s="16"/>
      <c r="AK130" s="16"/>
      <c r="AL130" s="16"/>
      <c r="AM130" s="16"/>
      <c r="AN130" s="16"/>
      <c r="AO130" s="16"/>
      <c r="AP130" s="16"/>
      <c r="AQ130" s="16"/>
      <c r="AR130" s="17">
        <v>5</v>
      </c>
      <c r="AS130" s="16"/>
      <c r="AT130" s="16"/>
      <c r="AU130" s="16"/>
      <c r="AV130" s="17">
        <v>4</v>
      </c>
      <c r="AW130" s="17">
        <v>30</v>
      </c>
      <c r="AX130" s="16"/>
      <c r="AY130" s="16"/>
      <c r="AZ130" s="16"/>
      <c r="BA130" s="17">
        <f t="shared" si="11"/>
        <v>231</v>
      </c>
      <c r="BB130" s="29">
        <f>BA130*95.94</f>
        <v>22162.14</v>
      </c>
      <c r="BC130" s="26">
        <v>79.95</v>
      </c>
      <c r="BD130" s="43">
        <f t="shared" si="8"/>
        <v>18468.45</v>
      </c>
      <c r="BE130" s="36">
        <f t="shared" si="7"/>
        <v>19945.926000000003</v>
      </c>
    </row>
    <row r="131" spans="1:57" ht="24.75" customHeight="1" x14ac:dyDescent="0.25">
      <c r="A131" s="5">
        <v>127</v>
      </c>
      <c r="B131" s="38">
        <v>281</v>
      </c>
      <c r="C131" s="5" t="s">
        <v>289</v>
      </c>
      <c r="D131" s="5" t="s">
        <v>328</v>
      </c>
      <c r="E131" s="15" t="s">
        <v>48</v>
      </c>
      <c r="F131" s="16"/>
      <c r="G131" s="16"/>
      <c r="H131" s="16"/>
      <c r="I131" s="16"/>
      <c r="J131" s="16"/>
      <c r="K131" s="16"/>
      <c r="L131" s="16"/>
      <c r="M131" s="16"/>
      <c r="N131" s="16"/>
      <c r="O131" s="16"/>
      <c r="P131" s="16"/>
      <c r="Q131" s="16"/>
      <c r="R131" s="16"/>
      <c r="S131" s="16"/>
      <c r="T131" s="16"/>
      <c r="U131" s="16"/>
      <c r="V131" s="16"/>
      <c r="W131" s="16"/>
      <c r="X131" s="16"/>
      <c r="Y131" s="16"/>
      <c r="Z131" s="16"/>
      <c r="AA131" s="16"/>
      <c r="AB131" s="17">
        <v>12</v>
      </c>
      <c r="AC131" s="16"/>
      <c r="AD131" s="16"/>
      <c r="AE131" s="16"/>
      <c r="AF131" s="16"/>
      <c r="AG131" s="16"/>
      <c r="AH131" s="16"/>
      <c r="AI131" s="17">
        <v>1</v>
      </c>
      <c r="AJ131" s="16"/>
      <c r="AK131" s="17">
        <v>1</v>
      </c>
      <c r="AL131" s="16"/>
      <c r="AM131" s="16"/>
      <c r="AN131" s="16"/>
      <c r="AO131" s="16"/>
      <c r="AP131" s="16"/>
      <c r="AQ131" s="16"/>
      <c r="AR131" s="16"/>
      <c r="AS131" s="16"/>
      <c r="AT131" s="16"/>
      <c r="AU131" s="16"/>
      <c r="AV131" s="16"/>
      <c r="AW131" s="16"/>
      <c r="AX131" s="16"/>
      <c r="AY131" s="16"/>
      <c r="AZ131" s="16"/>
      <c r="BA131" s="17">
        <f t="shared" si="11"/>
        <v>14</v>
      </c>
      <c r="BB131" s="29">
        <f>BA131*10293.5042857143</f>
        <v>144109.0600000002</v>
      </c>
      <c r="BC131" s="26">
        <v>8577.920714285714</v>
      </c>
      <c r="BD131" s="43">
        <f t="shared" si="8"/>
        <v>120090.89</v>
      </c>
      <c r="BE131" s="36">
        <f t="shared" si="7"/>
        <v>129698.1612</v>
      </c>
    </row>
    <row r="132" spans="1:57" ht="24.75" customHeight="1" x14ac:dyDescent="0.25">
      <c r="A132" s="5">
        <v>128</v>
      </c>
      <c r="B132" s="38">
        <v>282</v>
      </c>
      <c r="C132" s="5" t="s">
        <v>323</v>
      </c>
      <c r="D132" s="5" t="s">
        <v>290</v>
      </c>
      <c r="E132" s="15" t="s">
        <v>48</v>
      </c>
      <c r="F132" s="16"/>
      <c r="G132" s="16"/>
      <c r="H132" s="16"/>
      <c r="I132" s="16"/>
      <c r="J132" s="16"/>
      <c r="K132" s="17">
        <v>20</v>
      </c>
      <c r="L132" s="16"/>
      <c r="M132" s="16"/>
      <c r="N132" s="16"/>
      <c r="O132" s="16"/>
      <c r="P132" s="16"/>
      <c r="Q132" s="16"/>
      <c r="R132" s="17">
        <v>10</v>
      </c>
      <c r="S132" s="16"/>
      <c r="T132" s="17">
        <v>15</v>
      </c>
      <c r="U132" s="16"/>
      <c r="V132" s="16"/>
      <c r="W132" s="17">
        <v>6</v>
      </c>
      <c r="X132" s="16"/>
      <c r="Y132" s="17">
        <v>9</v>
      </c>
      <c r="Z132" s="16"/>
      <c r="AA132" s="16"/>
      <c r="AB132" s="17">
        <v>20</v>
      </c>
      <c r="AC132" s="16"/>
      <c r="AD132" s="16"/>
      <c r="AE132" s="16"/>
      <c r="AF132" s="16"/>
      <c r="AG132" s="16"/>
      <c r="AH132" s="16"/>
      <c r="AI132" s="17">
        <v>2</v>
      </c>
      <c r="AJ132" s="16"/>
      <c r="AK132" s="17">
        <v>20</v>
      </c>
      <c r="AL132" s="16"/>
      <c r="AM132" s="16"/>
      <c r="AN132" s="16"/>
      <c r="AO132" s="16"/>
      <c r="AP132" s="16"/>
      <c r="AQ132" s="16"/>
      <c r="AR132" s="16"/>
      <c r="AS132" s="16"/>
      <c r="AT132" s="16"/>
      <c r="AU132" s="16"/>
      <c r="AV132" s="17">
        <v>2</v>
      </c>
      <c r="AW132" s="17">
        <v>15</v>
      </c>
      <c r="AX132" s="16"/>
      <c r="AY132" s="16"/>
      <c r="AZ132" s="16"/>
      <c r="BA132" s="17">
        <f t="shared" si="11"/>
        <v>119</v>
      </c>
      <c r="BB132" s="29">
        <f>BA132*85.0079831932773</f>
        <v>10115.949999999999</v>
      </c>
      <c r="BC132" s="26">
        <v>70.84</v>
      </c>
      <c r="BD132" s="43">
        <f t="shared" si="8"/>
        <v>8429.9599999999991</v>
      </c>
      <c r="BE132" s="36">
        <f t="shared" si="7"/>
        <v>9104.3567999999996</v>
      </c>
    </row>
    <row r="133" spans="1:57" ht="24.75" customHeight="1" x14ac:dyDescent="0.25">
      <c r="A133" s="5">
        <v>129</v>
      </c>
      <c r="B133" s="38">
        <v>283</v>
      </c>
      <c r="C133" s="5" t="s">
        <v>291</v>
      </c>
      <c r="D133" s="5" t="s">
        <v>292</v>
      </c>
      <c r="E133" s="15" t="s">
        <v>48</v>
      </c>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7">
        <v>5</v>
      </c>
      <c r="AX133" s="16"/>
      <c r="AY133" s="16"/>
      <c r="AZ133" s="16"/>
      <c r="BA133" s="17">
        <f t="shared" si="11"/>
        <v>5</v>
      </c>
      <c r="BB133" s="29">
        <f>BA133*480</f>
        <v>2400</v>
      </c>
      <c r="BC133" s="26">
        <v>400</v>
      </c>
      <c r="BD133" s="43">
        <f t="shared" si="8"/>
        <v>2000</v>
      </c>
      <c r="BE133" s="36">
        <f t="shared" si="7"/>
        <v>2160</v>
      </c>
    </row>
    <row r="134" spans="1:57" ht="24.75" customHeight="1" x14ac:dyDescent="0.25">
      <c r="A134" s="5">
        <v>130</v>
      </c>
      <c r="B134" s="38">
        <v>286</v>
      </c>
      <c r="C134" s="5" t="s">
        <v>293</v>
      </c>
      <c r="D134" s="5" t="s">
        <v>294</v>
      </c>
      <c r="E134" s="15" t="s">
        <v>48</v>
      </c>
      <c r="F134" s="16"/>
      <c r="G134" s="16"/>
      <c r="H134" s="16"/>
      <c r="I134" s="16"/>
      <c r="J134" s="16"/>
      <c r="K134" s="16"/>
      <c r="L134" s="16"/>
      <c r="M134" s="16"/>
      <c r="N134" s="16"/>
      <c r="O134" s="16"/>
      <c r="P134" s="16"/>
      <c r="Q134" s="16"/>
      <c r="R134" s="16"/>
      <c r="S134" s="17">
        <v>1</v>
      </c>
      <c r="T134" s="16"/>
      <c r="U134" s="16"/>
      <c r="V134" s="16"/>
      <c r="W134" s="17">
        <v>6</v>
      </c>
      <c r="X134" s="16"/>
      <c r="Y134" s="16"/>
      <c r="Z134" s="16"/>
      <c r="AA134" s="16"/>
      <c r="AB134" s="17">
        <v>2</v>
      </c>
      <c r="AC134" s="17">
        <v>2</v>
      </c>
      <c r="AD134" s="16"/>
      <c r="AE134" s="16"/>
      <c r="AF134" s="16"/>
      <c r="AG134" s="16"/>
      <c r="AH134" s="16"/>
      <c r="AI134" s="16"/>
      <c r="AJ134" s="16"/>
      <c r="AK134" s="16"/>
      <c r="AL134" s="16"/>
      <c r="AM134" s="16"/>
      <c r="AN134" s="16"/>
      <c r="AO134" s="16"/>
      <c r="AP134" s="16"/>
      <c r="AQ134" s="16"/>
      <c r="AR134" s="16"/>
      <c r="AS134" s="16"/>
      <c r="AT134" s="16"/>
      <c r="AU134" s="16"/>
      <c r="AV134" s="16"/>
      <c r="AW134" s="16"/>
      <c r="AX134" s="16"/>
      <c r="AY134" s="16"/>
      <c r="AZ134" s="16"/>
      <c r="BA134" s="17">
        <f t="shared" ref="BA134:BA143" si="12">SUM(F134:AZ134)</f>
        <v>11</v>
      </c>
      <c r="BB134" s="29">
        <f>BA134*3312.54</f>
        <v>36437.94</v>
      </c>
      <c r="BC134" s="26">
        <v>2760.4500000000003</v>
      </c>
      <c r="BD134" s="43">
        <f t="shared" si="8"/>
        <v>30364.95</v>
      </c>
      <c r="BE134" s="36">
        <f t="shared" si="7"/>
        <v>32794.146000000001</v>
      </c>
    </row>
    <row r="135" spans="1:57" ht="24.75" customHeight="1" x14ac:dyDescent="0.25">
      <c r="A135" s="5">
        <v>131</v>
      </c>
      <c r="B135" s="38">
        <v>287</v>
      </c>
      <c r="C135" s="5" t="s">
        <v>295</v>
      </c>
      <c r="D135" s="5" t="s">
        <v>296</v>
      </c>
      <c r="E135" s="15" t="s">
        <v>48</v>
      </c>
      <c r="F135" s="16"/>
      <c r="G135" s="16"/>
      <c r="H135" s="16"/>
      <c r="I135" s="16"/>
      <c r="J135" s="16"/>
      <c r="K135" s="16"/>
      <c r="L135" s="16"/>
      <c r="M135" s="16"/>
      <c r="N135" s="16"/>
      <c r="O135" s="16"/>
      <c r="P135" s="16"/>
      <c r="Q135" s="16"/>
      <c r="R135" s="16"/>
      <c r="S135" s="17">
        <v>1</v>
      </c>
      <c r="T135" s="16"/>
      <c r="U135" s="16"/>
      <c r="V135" s="16"/>
      <c r="W135" s="17">
        <v>4</v>
      </c>
      <c r="X135" s="16"/>
      <c r="Y135" s="16"/>
      <c r="Z135" s="16"/>
      <c r="AA135" s="16"/>
      <c r="AB135" s="16"/>
      <c r="AC135" s="16"/>
      <c r="AD135" s="16"/>
      <c r="AE135" s="16"/>
      <c r="AF135" s="16"/>
      <c r="AG135" s="16"/>
      <c r="AH135" s="16"/>
      <c r="AI135" s="17">
        <v>1</v>
      </c>
      <c r="AJ135" s="16"/>
      <c r="AK135" s="16"/>
      <c r="AL135" s="16"/>
      <c r="AM135" s="16"/>
      <c r="AN135" s="16"/>
      <c r="AO135" s="16"/>
      <c r="AP135" s="16"/>
      <c r="AQ135" s="16"/>
      <c r="AR135" s="16"/>
      <c r="AS135" s="16"/>
      <c r="AT135" s="16"/>
      <c r="AU135" s="16"/>
      <c r="AV135" s="16"/>
      <c r="AW135" s="16"/>
      <c r="AX135" s="16"/>
      <c r="AY135" s="16"/>
      <c r="AZ135" s="16"/>
      <c r="BA135" s="17">
        <f t="shared" si="12"/>
        <v>6</v>
      </c>
      <c r="BB135" s="29">
        <f>BA135*300</f>
        <v>1800</v>
      </c>
      <c r="BC135" s="26">
        <v>250</v>
      </c>
      <c r="BD135" s="43">
        <f t="shared" si="8"/>
        <v>1500</v>
      </c>
      <c r="BE135" s="36">
        <f t="shared" ref="BE135:BE143" si="13">BD135*1.08</f>
        <v>1620</v>
      </c>
    </row>
    <row r="136" spans="1:57" s="7" customFormat="1" ht="24.75" customHeight="1" x14ac:dyDescent="0.25">
      <c r="A136" s="5">
        <v>132</v>
      </c>
      <c r="B136" s="38">
        <v>289</v>
      </c>
      <c r="C136" s="6" t="s">
        <v>297</v>
      </c>
      <c r="D136" s="6" t="s">
        <v>298</v>
      </c>
      <c r="E136" s="15" t="s">
        <v>48</v>
      </c>
      <c r="F136" s="18"/>
      <c r="G136" s="18"/>
      <c r="H136" s="18"/>
      <c r="I136" s="18"/>
      <c r="J136" s="18"/>
      <c r="K136" s="18"/>
      <c r="L136" s="18"/>
      <c r="M136" s="18"/>
      <c r="N136" s="18"/>
      <c r="O136" s="18"/>
      <c r="P136" s="18"/>
      <c r="Q136" s="18"/>
      <c r="R136" s="18"/>
      <c r="S136" s="19">
        <v>3</v>
      </c>
      <c r="T136" s="18"/>
      <c r="U136" s="18"/>
      <c r="V136" s="18"/>
      <c r="W136" s="19">
        <v>1</v>
      </c>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7">
        <f t="shared" si="12"/>
        <v>4</v>
      </c>
      <c r="BB136" s="31">
        <f>BA136*1882.8</f>
        <v>7531.2</v>
      </c>
      <c r="BC136" s="26">
        <v>1569</v>
      </c>
      <c r="BD136" s="43">
        <f t="shared" ref="BD136:BD143" si="14">ROUND(BC136*BA136,2)</f>
        <v>6276</v>
      </c>
      <c r="BE136" s="36">
        <f t="shared" si="13"/>
        <v>6778.0800000000008</v>
      </c>
    </row>
    <row r="137" spans="1:57" ht="24.75" customHeight="1" x14ac:dyDescent="0.25">
      <c r="A137" s="5">
        <v>133</v>
      </c>
      <c r="B137" s="38">
        <v>290</v>
      </c>
      <c r="C137" s="5" t="s">
        <v>299</v>
      </c>
      <c r="D137" s="5" t="s">
        <v>300</v>
      </c>
      <c r="E137" s="15" t="s">
        <v>48</v>
      </c>
      <c r="F137" s="16"/>
      <c r="G137" s="16"/>
      <c r="H137" s="16"/>
      <c r="I137" s="16"/>
      <c r="J137" s="16"/>
      <c r="K137" s="16"/>
      <c r="L137" s="16"/>
      <c r="M137" s="16"/>
      <c r="N137" s="16"/>
      <c r="O137" s="16"/>
      <c r="P137" s="16"/>
      <c r="Q137" s="16"/>
      <c r="R137" s="16"/>
      <c r="S137" s="17">
        <v>1</v>
      </c>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c r="AY137" s="16"/>
      <c r="AZ137" s="16"/>
      <c r="BA137" s="17">
        <f t="shared" si="12"/>
        <v>1</v>
      </c>
      <c r="BB137" s="29">
        <f>BA137*12000</f>
        <v>12000</v>
      </c>
      <c r="BC137" s="26">
        <v>10000</v>
      </c>
      <c r="BD137" s="43">
        <f t="shared" si="14"/>
        <v>10000</v>
      </c>
      <c r="BE137" s="36">
        <f t="shared" si="13"/>
        <v>10800</v>
      </c>
    </row>
    <row r="138" spans="1:57" ht="24.75" customHeight="1" x14ac:dyDescent="0.25">
      <c r="A138" s="5">
        <v>134</v>
      </c>
      <c r="B138" s="38">
        <v>291</v>
      </c>
      <c r="C138" s="5" t="s">
        <v>301</v>
      </c>
      <c r="D138" s="5" t="s">
        <v>302</v>
      </c>
      <c r="E138" s="15" t="s">
        <v>48</v>
      </c>
      <c r="F138" s="16"/>
      <c r="G138" s="16"/>
      <c r="H138" s="16"/>
      <c r="I138" s="16"/>
      <c r="J138" s="16"/>
      <c r="K138" s="16"/>
      <c r="L138" s="16"/>
      <c r="M138" s="16"/>
      <c r="N138" s="16"/>
      <c r="O138" s="16"/>
      <c r="P138" s="16"/>
      <c r="Q138" s="16"/>
      <c r="R138" s="16"/>
      <c r="S138" s="17">
        <v>1</v>
      </c>
      <c r="T138" s="16"/>
      <c r="U138" s="16"/>
      <c r="V138" s="16"/>
      <c r="W138" s="16"/>
      <c r="X138" s="16"/>
      <c r="Y138" s="17">
        <v>1</v>
      </c>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c r="AY138" s="16"/>
      <c r="AZ138" s="16"/>
      <c r="BA138" s="17">
        <f t="shared" si="12"/>
        <v>2</v>
      </c>
      <c r="BB138" s="29">
        <f>BA138*12000</f>
        <v>24000</v>
      </c>
      <c r="BC138" s="26">
        <v>10000</v>
      </c>
      <c r="BD138" s="43">
        <f t="shared" si="14"/>
        <v>20000</v>
      </c>
      <c r="BE138" s="36">
        <f t="shared" si="13"/>
        <v>21600</v>
      </c>
    </row>
    <row r="139" spans="1:57" ht="24.75" customHeight="1" x14ac:dyDescent="0.25">
      <c r="A139" s="5">
        <v>135</v>
      </c>
      <c r="B139" s="38">
        <v>292</v>
      </c>
      <c r="C139" s="5" t="s">
        <v>303</v>
      </c>
      <c r="D139" s="5" t="s">
        <v>304</v>
      </c>
      <c r="E139" s="15" t="s">
        <v>48</v>
      </c>
      <c r="F139" s="16"/>
      <c r="G139" s="16"/>
      <c r="H139" s="16"/>
      <c r="I139" s="16"/>
      <c r="J139" s="16"/>
      <c r="K139" s="16"/>
      <c r="L139" s="16"/>
      <c r="M139" s="16"/>
      <c r="N139" s="16"/>
      <c r="O139" s="16"/>
      <c r="P139" s="16"/>
      <c r="Q139" s="16"/>
      <c r="R139" s="16"/>
      <c r="S139" s="16"/>
      <c r="T139" s="17">
        <v>40</v>
      </c>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c r="AY139" s="16"/>
      <c r="AZ139" s="16"/>
      <c r="BA139" s="17">
        <f t="shared" si="12"/>
        <v>40</v>
      </c>
      <c r="BB139" s="29">
        <f>BA139*12519.756</f>
        <v>500790.24</v>
      </c>
      <c r="BC139" s="26">
        <v>10433.130000000001</v>
      </c>
      <c r="BD139" s="43">
        <f t="shared" si="14"/>
        <v>417325.2</v>
      </c>
      <c r="BE139" s="36">
        <f t="shared" si="13"/>
        <v>450711.21600000001</v>
      </c>
    </row>
    <row r="140" spans="1:57" ht="24.75" customHeight="1" x14ac:dyDescent="0.25">
      <c r="A140" s="5">
        <v>136</v>
      </c>
      <c r="B140" s="38">
        <v>294</v>
      </c>
      <c r="C140" s="5" t="s">
        <v>305</v>
      </c>
      <c r="D140" s="5" t="s">
        <v>306</v>
      </c>
      <c r="E140" s="15" t="s">
        <v>48</v>
      </c>
      <c r="F140" s="16"/>
      <c r="G140" s="16"/>
      <c r="H140" s="16"/>
      <c r="I140" s="16"/>
      <c r="J140" s="16"/>
      <c r="K140" s="16"/>
      <c r="L140" s="16"/>
      <c r="M140" s="16"/>
      <c r="N140" s="16"/>
      <c r="O140" s="16"/>
      <c r="P140" s="16"/>
      <c r="Q140" s="16"/>
      <c r="R140" s="16"/>
      <c r="S140" s="16"/>
      <c r="T140" s="16"/>
      <c r="U140" s="16"/>
      <c r="V140" s="16"/>
      <c r="W140" s="16"/>
      <c r="X140" s="16"/>
      <c r="Y140" s="16"/>
      <c r="Z140" s="16"/>
      <c r="AA140" s="16"/>
      <c r="AB140" s="17">
        <v>1</v>
      </c>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c r="AY140" s="16"/>
      <c r="AZ140" s="16"/>
      <c r="BA140" s="17">
        <f t="shared" si="12"/>
        <v>1</v>
      </c>
      <c r="BB140" s="29">
        <f>BA140*2120</f>
        <v>2120</v>
      </c>
      <c r="BC140" s="26">
        <v>1766.67</v>
      </c>
      <c r="BD140" s="43">
        <f t="shared" si="14"/>
        <v>1766.67</v>
      </c>
      <c r="BE140" s="36">
        <f t="shared" si="13"/>
        <v>1908.0036000000002</v>
      </c>
    </row>
    <row r="141" spans="1:57" ht="24.75" customHeight="1" x14ac:dyDescent="0.25">
      <c r="A141" s="5">
        <v>137</v>
      </c>
      <c r="B141" s="38">
        <v>295</v>
      </c>
      <c r="C141" s="5" t="s">
        <v>307</v>
      </c>
      <c r="D141" s="5" t="s">
        <v>308</v>
      </c>
      <c r="E141" s="15" t="s">
        <v>48</v>
      </c>
      <c r="F141" s="16"/>
      <c r="G141" s="16"/>
      <c r="H141" s="16"/>
      <c r="I141" s="16"/>
      <c r="J141" s="16"/>
      <c r="K141" s="16"/>
      <c r="L141" s="16"/>
      <c r="M141" s="16"/>
      <c r="N141" s="16"/>
      <c r="O141" s="16"/>
      <c r="P141" s="16"/>
      <c r="Q141" s="16"/>
      <c r="R141" s="16"/>
      <c r="S141" s="16"/>
      <c r="T141" s="16"/>
      <c r="U141" s="16"/>
      <c r="V141" s="16"/>
      <c r="W141" s="16"/>
      <c r="X141" s="16"/>
      <c r="Y141" s="16"/>
      <c r="Z141" s="16"/>
      <c r="AA141" s="16"/>
      <c r="AB141" s="17">
        <v>1</v>
      </c>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7">
        <f t="shared" si="12"/>
        <v>1</v>
      </c>
      <c r="BB141" s="29">
        <f t="shared" ref="BB141:BB142" si="15">BA141*2120</f>
        <v>2120</v>
      </c>
      <c r="BC141" s="26">
        <v>1766.67</v>
      </c>
      <c r="BD141" s="43">
        <f t="shared" si="14"/>
        <v>1766.67</v>
      </c>
      <c r="BE141" s="36">
        <f t="shared" si="13"/>
        <v>1908.0036000000002</v>
      </c>
    </row>
    <row r="142" spans="1:57" ht="24.75" customHeight="1" x14ac:dyDescent="0.25">
      <c r="A142" s="5">
        <v>138</v>
      </c>
      <c r="B142" s="38">
        <v>296</v>
      </c>
      <c r="C142" s="5" t="s">
        <v>309</v>
      </c>
      <c r="D142" s="5" t="s">
        <v>310</v>
      </c>
      <c r="E142" s="15" t="s">
        <v>48</v>
      </c>
      <c r="F142" s="16"/>
      <c r="G142" s="16"/>
      <c r="H142" s="16"/>
      <c r="I142" s="16"/>
      <c r="J142" s="16"/>
      <c r="K142" s="16"/>
      <c r="L142" s="16"/>
      <c r="M142" s="16"/>
      <c r="N142" s="16"/>
      <c r="O142" s="16"/>
      <c r="P142" s="16"/>
      <c r="Q142" s="16"/>
      <c r="R142" s="16"/>
      <c r="S142" s="16"/>
      <c r="T142" s="16"/>
      <c r="U142" s="16"/>
      <c r="V142" s="16"/>
      <c r="W142" s="16"/>
      <c r="X142" s="16"/>
      <c r="Y142" s="16"/>
      <c r="Z142" s="16"/>
      <c r="AA142" s="16"/>
      <c r="AB142" s="17">
        <v>1</v>
      </c>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c r="AY142" s="16"/>
      <c r="AZ142" s="16"/>
      <c r="BA142" s="17">
        <f t="shared" si="12"/>
        <v>1</v>
      </c>
      <c r="BB142" s="29">
        <f t="shared" si="15"/>
        <v>2120</v>
      </c>
      <c r="BC142" s="26">
        <v>1766.67</v>
      </c>
      <c r="BD142" s="43">
        <f>ROUND(BC142*BA142,2)</f>
        <v>1766.67</v>
      </c>
      <c r="BE142" s="36">
        <f t="shared" si="13"/>
        <v>1908.0036000000002</v>
      </c>
    </row>
    <row r="143" spans="1:57" ht="24.75" customHeight="1" x14ac:dyDescent="0.25">
      <c r="A143" s="5">
        <v>139</v>
      </c>
      <c r="B143" s="38">
        <v>298</v>
      </c>
      <c r="C143" s="5" t="s">
        <v>311</v>
      </c>
      <c r="D143" s="5" t="s">
        <v>312</v>
      </c>
      <c r="E143" s="15" t="s">
        <v>48</v>
      </c>
      <c r="F143" s="16"/>
      <c r="G143" s="16"/>
      <c r="H143" s="16"/>
      <c r="I143" s="16"/>
      <c r="J143" s="16"/>
      <c r="K143" s="16"/>
      <c r="L143" s="16"/>
      <c r="M143" s="16"/>
      <c r="N143" s="16"/>
      <c r="O143" s="16"/>
      <c r="P143" s="16"/>
      <c r="Q143" s="16"/>
      <c r="R143" s="16"/>
      <c r="S143" s="16"/>
      <c r="T143" s="16"/>
      <c r="U143" s="16"/>
      <c r="V143" s="16"/>
      <c r="W143" s="16"/>
      <c r="X143" s="16"/>
      <c r="Y143" s="16"/>
      <c r="Z143" s="16"/>
      <c r="AA143" s="16"/>
      <c r="AB143" s="17">
        <v>1</v>
      </c>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c r="AY143" s="16"/>
      <c r="AZ143" s="16"/>
      <c r="BA143" s="17">
        <f t="shared" si="12"/>
        <v>1</v>
      </c>
      <c r="BB143" s="29">
        <f>BA143*2120</f>
        <v>2120</v>
      </c>
      <c r="BC143" s="26">
        <v>1766.67</v>
      </c>
      <c r="BD143" s="43">
        <f t="shared" si="14"/>
        <v>1766.67</v>
      </c>
      <c r="BE143" s="36">
        <f t="shared" si="13"/>
        <v>1908.0036000000002</v>
      </c>
    </row>
    <row r="144" spans="1:57" ht="24.75" customHeight="1" x14ac:dyDescent="0.25">
      <c r="A144" s="8"/>
      <c r="B144" s="8"/>
      <c r="C144" s="8"/>
      <c r="D144" s="8"/>
      <c r="E144" s="20"/>
      <c r="F144" s="21">
        <f t="shared" ref="F144:AJ144" si="16">SUM(F6:F143)</f>
        <v>68</v>
      </c>
      <c r="G144" s="21">
        <f t="shared" si="16"/>
        <v>35</v>
      </c>
      <c r="H144" s="21">
        <f t="shared" si="16"/>
        <v>258</v>
      </c>
      <c r="I144" s="21">
        <f t="shared" si="16"/>
        <v>105</v>
      </c>
      <c r="J144" s="21">
        <f t="shared" si="16"/>
        <v>50</v>
      </c>
      <c r="K144" s="21">
        <f t="shared" si="16"/>
        <v>42</v>
      </c>
      <c r="L144" s="21">
        <f t="shared" si="16"/>
        <v>102</v>
      </c>
      <c r="M144" s="21">
        <f t="shared" si="16"/>
        <v>1</v>
      </c>
      <c r="N144" s="21">
        <f t="shared" si="16"/>
        <v>1</v>
      </c>
      <c r="O144" s="21">
        <f t="shared" si="16"/>
        <v>2</v>
      </c>
      <c r="P144" s="21">
        <f t="shared" si="16"/>
        <v>2</v>
      </c>
      <c r="Q144" s="21">
        <f t="shared" si="16"/>
        <v>4</v>
      </c>
      <c r="R144" s="21">
        <f t="shared" si="16"/>
        <v>397</v>
      </c>
      <c r="S144" s="21">
        <f t="shared" si="16"/>
        <v>113</v>
      </c>
      <c r="T144" s="21">
        <f t="shared" si="16"/>
        <v>1809</v>
      </c>
      <c r="U144" s="21">
        <f t="shared" si="16"/>
        <v>5</v>
      </c>
      <c r="V144" s="21">
        <f t="shared" si="16"/>
        <v>5</v>
      </c>
      <c r="W144" s="21">
        <f t="shared" si="16"/>
        <v>757</v>
      </c>
      <c r="X144" s="21">
        <f t="shared" si="16"/>
        <v>62</v>
      </c>
      <c r="Y144" s="21">
        <f t="shared" si="16"/>
        <v>257</v>
      </c>
      <c r="Z144" s="21">
        <f t="shared" si="16"/>
        <v>35</v>
      </c>
      <c r="AA144" s="21">
        <f t="shared" si="16"/>
        <v>133</v>
      </c>
      <c r="AB144" s="21">
        <f t="shared" si="16"/>
        <v>1782</v>
      </c>
      <c r="AC144" s="21">
        <f t="shared" si="16"/>
        <v>105</v>
      </c>
      <c r="AD144" s="21">
        <f t="shared" si="16"/>
        <v>13</v>
      </c>
      <c r="AE144" s="21">
        <f t="shared" si="16"/>
        <v>166</v>
      </c>
      <c r="AF144" s="21">
        <f t="shared" si="16"/>
        <v>56</v>
      </c>
      <c r="AG144" s="21">
        <f t="shared" si="16"/>
        <v>44</v>
      </c>
      <c r="AH144" s="21">
        <f t="shared" si="16"/>
        <v>95</v>
      </c>
      <c r="AI144" s="21">
        <f t="shared" si="16"/>
        <v>66</v>
      </c>
      <c r="AJ144" s="21">
        <f t="shared" si="16"/>
        <v>26</v>
      </c>
      <c r="AK144" s="21">
        <f t="shared" ref="AK144:BB144" si="17">SUM(AK6:AK143)</f>
        <v>205</v>
      </c>
      <c r="AL144" s="21">
        <f t="shared" si="17"/>
        <v>21</v>
      </c>
      <c r="AM144" s="21">
        <f t="shared" si="17"/>
        <v>6</v>
      </c>
      <c r="AN144" s="21">
        <f t="shared" si="17"/>
        <v>146</v>
      </c>
      <c r="AO144" s="21">
        <f t="shared" si="17"/>
        <v>8</v>
      </c>
      <c r="AP144" s="21">
        <f t="shared" si="17"/>
        <v>10</v>
      </c>
      <c r="AQ144" s="21">
        <f t="shared" si="17"/>
        <v>23</v>
      </c>
      <c r="AR144" s="21">
        <f t="shared" si="17"/>
        <v>28</v>
      </c>
      <c r="AS144" s="21">
        <f t="shared" si="17"/>
        <v>10</v>
      </c>
      <c r="AT144" s="21">
        <f t="shared" si="17"/>
        <v>36</v>
      </c>
      <c r="AU144" s="21">
        <f t="shared" si="17"/>
        <v>50</v>
      </c>
      <c r="AV144" s="21">
        <f t="shared" si="17"/>
        <v>63</v>
      </c>
      <c r="AW144" s="21">
        <f t="shared" si="17"/>
        <v>201</v>
      </c>
      <c r="AX144" s="21">
        <f t="shared" si="17"/>
        <v>10</v>
      </c>
      <c r="AY144" s="21">
        <f t="shared" si="17"/>
        <v>30</v>
      </c>
      <c r="AZ144" s="21">
        <f t="shared" si="17"/>
        <v>10</v>
      </c>
      <c r="BA144" s="21">
        <f t="shared" si="17"/>
        <v>7453</v>
      </c>
      <c r="BB144" s="22">
        <f t="shared" si="17"/>
        <v>4388421.2226828542</v>
      </c>
      <c r="BD144" s="43">
        <f>SUM(BD6:BD143)</f>
        <v>3751319.2000000011</v>
      </c>
      <c r="BE144" s="37">
        <f>SUM(BE6:BE143)</f>
        <v>4051424.7359999991</v>
      </c>
    </row>
  </sheetData>
  <autoFilter ref="A4:BE144" xr:uid="{779E49E7-8819-41D3-95C7-001058B545E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2025-10-01T12:22:19Z</dcterms:created>
  <dcterms:modified xsi:type="dcterms:W3CDTF">2026-03-02T13:32:02Z</dcterms:modified>
</cp:coreProperties>
</file>