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14210"/>
</workbook>
</file>

<file path=xl/sharedStrings.xml><?xml version="1.0" encoding="utf-8"?>
<sst xmlns="http://schemas.openxmlformats.org/spreadsheetml/2006/main" count="100" uniqueCount="68">
  <si>
    <t>Nr.    d/o</t>
  </si>
  <si>
    <t>Denumirea si continutul operatiei</t>
  </si>
  <si>
    <t>Unitatea de masura</t>
  </si>
  <si>
    <t>Volumul lucrarilor</t>
  </si>
  <si>
    <t>Cantitatea necesara</t>
  </si>
  <si>
    <t>Tariful zilnic (lei)</t>
  </si>
  <si>
    <t>Salariu Total (incl. vechimea muncii si altele)</t>
  </si>
  <si>
    <t>Fondul asigurarii sociale/medicale</t>
  </si>
  <si>
    <t>Consumul de materiale</t>
  </si>
  <si>
    <t>Total general (lei)</t>
  </si>
  <si>
    <t>Tractorul</t>
  </si>
  <si>
    <t>Utilajul</t>
  </si>
  <si>
    <t>Agregatului schimb</t>
  </si>
  <si>
    <t>Zilei-om</t>
  </si>
  <si>
    <t>Materiale</t>
  </si>
  <si>
    <t>Cantitatea</t>
  </si>
  <si>
    <t>Costul unei unitati (lei)</t>
  </si>
  <si>
    <t>Suma (lei)</t>
  </si>
  <si>
    <t>Transportarea tractorului  (150 km)</t>
  </si>
  <si>
    <t>Zile-om</t>
  </si>
  <si>
    <t>MTZ-82</t>
  </si>
  <si>
    <t>PN-2-35</t>
  </si>
  <si>
    <t>Motorina</t>
  </si>
  <si>
    <t>Transportarea oamenilor la marcarea suprafetelor (170 km)</t>
  </si>
  <si>
    <t>GAZ-53</t>
  </si>
  <si>
    <t>Benzina</t>
  </si>
  <si>
    <t>Marcarea suprafaţa pentru pregătirea solului mecanizată</t>
  </si>
  <si>
    <t>ha</t>
  </si>
  <si>
    <t>manual</t>
  </si>
  <si>
    <t>Pregatirea solului mecanizat in fisii</t>
  </si>
  <si>
    <t>TOTAL - Pregatirea Solului</t>
  </si>
  <si>
    <t>Incarcarea puietilor</t>
  </si>
  <si>
    <t>mii buc</t>
  </si>
  <si>
    <t>Transportare puietilor (150 km)</t>
  </si>
  <si>
    <t>Descarcarea puietilor</t>
  </si>
  <si>
    <t>Pregatirea puietilor perntru sadit</t>
  </si>
  <si>
    <t>Ingroparea puietilor pentru pastrarea temporara</t>
  </si>
  <si>
    <t>Transportarea oamenilor la plantarea (170 km)</t>
  </si>
  <si>
    <t>Sadirea puietilor cu hirlet "Kolesov"</t>
  </si>
  <si>
    <t>buc</t>
  </si>
  <si>
    <t>hirlet "Kolesov"</t>
  </si>
  <si>
    <t>TOTAL - Plantare</t>
  </si>
  <si>
    <t>litru</t>
  </si>
  <si>
    <t>Ulei</t>
  </si>
  <si>
    <t>Material saditor</t>
  </si>
  <si>
    <t>TOTAL - Materiale</t>
  </si>
  <si>
    <t>ex. I. Prodaus</t>
  </si>
  <si>
    <t>Primaria Alexeevca 4,81 ha pregătirea solului mecanizat fîşii 0,7x2,5m, plantarea manual 0,7x2,5m cu hîrleţ Kolesov.</t>
  </si>
  <si>
    <t>HARTA TEHNOLOGICA  Crearea culturi silvice de Stejar roşu pe terenuri degradate</t>
  </si>
  <si>
    <t>Componenta agregatului</t>
  </si>
  <si>
    <t>Colectarea şi ]ngroparea stîlpilor</t>
  </si>
  <si>
    <t>Total pe îngrijirea c.s.</t>
  </si>
  <si>
    <t>Completarea c.s. 20% (0,7x2,5)</t>
  </si>
  <si>
    <t>Total completarea c.s.</t>
  </si>
  <si>
    <t>Paza c.s.</t>
  </si>
  <si>
    <t>Total pe paza c.s.</t>
  </si>
  <si>
    <t>Prăşit c.s. 15 ori pe cinci ani (0,5x2,5m)</t>
  </si>
  <si>
    <t>m2</t>
  </si>
  <si>
    <t>Transportarea lucrătorilor la ingrijirea distanţa -170 km</t>
  </si>
  <si>
    <t>Transportarea lucrătorilor la completarea c.s. Distanţa-170 km</t>
  </si>
  <si>
    <t>Total Consumuri directe</t>
  </si>
  <si>
    <t>Consumu indirecte</t>
  </si>
  <si>
    <t>Stilpi</t>
  </si>
  <si>
    <t>INCLUSIV DESCIFRARE MATERIALE</t>
  </si>
  <si>
    <t>Total General</t>
  </si>
  <si>
    <t>Lucrări de proiectare şi pregătire a pachetului de acte pentru prezentarea la FEN 577 lei/ha</t>
  </si>
  <si>
    <t>Persoana responsabilă</t>
  </si>
  <si>
    <t>__________________________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</si>
</sst>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30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workbookViewId="0" topLeftCell="A1">
      <selection activeCell="S33" sqref="S33"/>
    </sheetView>
  </sheetViews>
  <sheetFormatPr defaultColWidth="9.140625" defaultRowHeight="15"/>
  <cols>
    <col min="1" max="1" width="2.28125" style="0" customWidth="1"/>
    <col min="2" max="2" width="26.28125" style="0" customWidth="1"/>
    <col min="3" max="3" width="6.421875" style="0" customWidth="1"/>
    <col min="4" max="4" width="6.57421875" style="0" customWidth="1"/>
    <col min="5" max="5" width="7.00390625" style="0" customWidth="1"/>
    <col min="6" max="6" width="7.28125" style="0" customWidth="1"/>
    <col min="7" max="7" width="5.7109375" style="0" customWidth="1"/>
    <col min="8" max="8" width="8.57421875" style="0" customWidth="1"/>
    <col min="9" max="9" width="7.140625" style="0" customWidth="1"/>
    <col min="10" max="10" width="8.57421875" style="0" customWidth="1"/>
    <col min="11" max="11" width="8.140625" style="0" customWidth="1"/>
    <col min="12" max="12" width="7.140625" style="0" customWidth="1"/>
    <col min="13" max="13" width="6.57421875" style="0" customWidth="1"/>
    <col min="14" max="14" width="5.421875" style="0" customWidth="1"/>
    <col min="15" max="15" width="8.57421875" style="0" customWidth="1"/>
    <col min="17" max="17" width="9.57421875" style="0" hidden="1" customWidth="1"/>
    <col min="18" max="18" width="9.28125" style="0" customWidth="1"/>
    <col min="19" max="19" width="9.28125" style="0" bestFit="1" customWidth="1"/>
  </cols>
  <sheetData>
    <row r="1" spans="1:16" ht="15">
      <c r="A1" s="1"/>
      <c r="B1" s="57" t="s">
        <v>48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">
      <c r="A2" s="2"/>
      <c r="B2" s="58" t="s">
        <v>47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" ht="15">
      <c r="A3" s="1"/>
      <c r="B3" s="1"/>
    </row>
    <row r="4" spans="1:19" ht="23.25" customHeight="1">
      <c r="A4" s="52" t="s">
        <v>0</v>
      </c>
      <c r="B4" s="53" t="s">
        <v>1</v>
      </c>
      <c r="C4" s="52" t="s">
        <v>2</v>
      </c>
      <c r="D4" s="52" t="s">
        <v>3</v>
      </c>
      <c r="E4" s="54" t="s">
        <v>49</v>
      </c>
      <c r="F4" s="54"/>
      <c r="G4" s="53" t="s">
        <v>4</v>
      </c>
      <c r="H4" s="53"/>
      <c r="I4" s="50" t="s">
        <v>5</v>
      </c>
      <c r="J4" s="50" t="s">
        <v>6</v>
      </c>
      <c r="K4" s="50" t="s">
        <v>7</v>
      </c>
      <c r="L4" s="61" t="s">
        <v>8</v>
      </c>
      <c r="M4" s="62"/>
      <c r="N4" s="62"/>
      <c r="O4" s="63"/>
      <c r="P4" s="50" t="s">
        <v>60</v>
      </c>
      <c r="Q4" s="50" t="s">
        <v>61</v>
      </c>
      <c r="R4" s="59" t="s">
        <v>65</v>
      </c>
      <c r="S4" s="50" t="s">
        <v>9</v>
      </c>
    </row>
    <row r="5" spans="1:19" ht="49.5" customHeight="1">
      <c r="A5" s="52"/>
      <c r="B5" s="53"/>
      <c r="C5" s="52"/>
      <c r="D5" s="52"/>
      <c r="E5" s="3" t="s">
        <v>10</v>
      </c>
      <c r="F5" s="3" t="s">
        <v>11</v>
      </c>
      <c r="G5" s="3" t="s">
        <v>12</v>
      </c>
      <c r="H5" s="3" t="s">
        <v>13</v>
      </c>
      <c r="I5" s="51"/>
      <c r="J5" s="51"/>
      <c r="K5" s="51"/>
      <c r="L5" s="3" t="s">
        <v>14</v>
      </c>
      <c r="M5" s="3" t="s">
        <v>15</v>
      </c>
      <c r="N5" s="3" t="s">
        <v>16</v>
      </c>
      <c r="O5" s="3" t="s">
        <v>17</v>
      </c>
      <c r="P5" s="51"/>
      <c r="Q5" s="51"/>
      <c r="R5" s="60"/>
      <c r="S5" s="51"/>
    </row>
    <row r="6" spans="1:19" ht="13.5" customHeight="1">
      <c r="A6" s="4">
        <v>1</v>
      </c>
      <c r="B6" s="5" t="s">
        <v>18</v>
      </c>
      <c r="C6" s="6" t="s">
        <v>19</v>
      </c>
      <c r="D6" s="7"/>
      <c r="E6" s="7" t="s">
        <v>20</v>
      </c>
      <c r="F6" s="7" t="s">
        <v>21</v>
      </c>
      <c r="G6" s="8">
        <v>1</v>
      </c>
      <c r="H6" s="9"/>
      <c r="I6" s="8">
        <v>162.32</v>
      </c>
      <c r="J6" s="8">
        <f>G6*I6*2</f>
        <v>324.64</v>
      </c>
      <c r="K6" s="8">
        <f>J6*0.275</f>
        <v>89.27600000000001</v>
      </c>
      <c r="L6" s="8" t="s">
        <v>22</v>
      </c>
      <c r="M6" s="35">
        <v>75</v>
      </c>
      <c r="N6" s="35">
        <v>12.62</v>
      </c>
      <c r="O6" s="36">
        <f>(M6*N6)+(M6*0.07*20.84)</f>
        <v>1055.9099999999999</v>
      </c>
      <c r="P6" s="8">
        <f>SUM(J6:K6)+O6</f>
        <v>1469.8259999999998</v>
      </c>
      <c r="Q6" s="8">
        <v>0</v>
      </c>
      <c r="R6" s="8"/>
      <c r="S6" s="8">
        <f>P6+Q6</f>
        <v>1469.8259999999998</v>
      </c>
    </row>
    <row r="7" spans="1:19" ht="24" customHeight="1">
      <c r="A7" s="4">
        <v>2</v>
      </c>
      <c r="B7" s="5" t="s">
        <v>23</v>
      </c>
      <c r="C7" s="6" t="s">
        <v>19</v>
      </c>
      <c r="D7" s="7"/>
      <c r="E7" s="7" t="s">
        <v>24</v>
      </c>
      <c r="F7" s="7"/>
      <c r="G7" s="8">
        <v>1</v>
      </c>
      <c r="H7" s="4"/>
      <c r="I7" s="8">
        <v>182.64</v>
      </c>
      <c r="J7" s="8">
        <f>G7*I7*2</f>
        <v>365.28</v>
      </c>
      <c r="K7" s="8">
        <f>J7*0.275</f>
        <v>100.452</v>
      </c>
      <c r="L7" s="8" t="s">
        <v>25</v>
      </c>
      <c r="M7" s="35">
        <f>170*0.3</f>
        <v>51</v>
      </c>
      <c r="N7" s="35">
        <v>14.61</v>
      </c>
      <c r="O7" s="36">
        <f>(M7*N7)+(M7*0.07*20.84)</f>
        <v>819.5088000000001</v>
      </c>
      <c r="P7" s="8">
        <f aca="true" t="shared" si="0" ref="P7:P26">SUM(J7:K7)+O7</f>
        <v>1285.2408</v>
      </c>
      <c r="Q7" s="8">
        <v>0</v>
      </c>
      <c r="R7" s="8"/>
      <c r="S7" s="8">
        <f aca="true" t="shared" si="1" ref="S7:S35">P7+Q7</f>
        <v>1285.2408</v>
      </c>
    </row>
    <row r="8" spans="1:19" ht="23.25" customHeight="1">
      <c r="A8" s="4">
        <v>3</v>
      </c>
      <c r="B8" s="5" t="s">
        <v>26</v>
      </c>
      <c r="C8" s="6" t="s">
        <v>27</v>
      </c>
      <c r="D8" s="11">
        <v>4.81</v>
      </c>
      <c r="E8" s="7"/>
      <c r="F8" s="7" t="s">
        <v>28</v>
      </c>
      <c r="G8" s="10"/>
      <c r="H8" s="8">
        <f>D8/0.86</f>
        <v>5.593023255813953</v>
      </c>
      <c r="I8" s="8">
        <v>130.16</v>
      </c>
      <c r="J8" s="8">
        <f>H8*I8*2</f>
        <v>1455.9758139534881</v>
      </c>
      <c r="K8" s="8">
        <f>J8*0.275</f>
        <v>400.39334883720926</v>
      </c>
      <c r="L8" s="8"/>
      <c r="M8" s="35"/>
      <c r="N8" s="35"/>
      <c r="O8" s="36"/>
      <c r="P8" s="8">
        <f t="shared" si="0"/>
        <v>1856.3691627906974</v>
      </c>
      <c r="Q8" s="8">
        <v>0</v>
      </c>
      <c r="R8" s="8"/>
      <c r="S8" s="8">
        <f t="shared" si="1"/>
        <v>1856.3691627906974</v>
      </c>
    </row>
    <row r="9" spans="1:19" ht="12" customHeight="1">
      <c r="A9" s="4">
        <v>4</v>
      </c>
      <c r="B9" s="5" t="s">
        <v>29</v>
      </c>
      <c r="C9" s="6" t="s">
        <v>27</v>
      </c>
      <c r="D9" s="7">
        <f>D8</f>
        <v>4.81</v>
      </c>
      <c r="E9" s="7" t="s">
        <v>20</v>
      </c>
      <c r="F9" s="7" t="s">
        <v>21</v>
      </c>
      <c r="G9" s="8">
        <f>D9/2.6</f>
        <v>1.8499999999999999</v>
      </c>
      <c r="H9" s="9"/>
      <c r="I9" s="8">
        <v>190.16</v>
      </c>
      <c r="J9" s="8">
        <f>G9*I9*2</f>
        <v>703.592</v>
      </c>
      <c r="K9" s="8">
        <f>J9*0.275</f>
        <v>193.48780000000002</v>
      </c>
      <c r="L9" s="8" t="s">
        <v>22</v>
      </c>
      <c r="M9" s="35">
        <f>20*D9</f>
        <v>96.19999999999999</v>
      </c>
      <c r="N9" s="35">
        <v>12.62</v>
      </c>
      <c r="O9" s="36">
        <f>(M9*N9)+(M9*0.07*20.84)</f>
        <v>1354.3805599999998</v>
      </c>
      <c r="P9" s="8">
        <f t="shared" si="0"/>
        <v>2251.46036</v>
      </c>
      <c r="Q9" s="8">
        <v>0</v>
      </c>
      <c r="R9" s="8"/>
      <c r="S9" s="8">
        <f t="shared" si="1"/>
        <v>2251.46036</v>
      </c>
    </row>
    <row r="10" spans="1:19" ht="15">
      <c r="A10" s="49" t="s">
        <v>30</v>
      </c>
      <c r="B10" s="49"/>
      <c r="C10" s="12"/>
      <c r="D10" s="13"/>
      <c r="E10" s="13"/>
      <c r="F10" s="13"/>
      <c r="G10" s="14">
        <f>SUM(G7:G9)</f>
        <v>2.8499999999999996</v>
      </c>
      <c r="H10" s="14">
        <f>SUM(H7:H9)</f>
        <v>5.593023255813953</v>
      </c>
      <c r="I10" s="14"/>
      <c r="J10" s="14">
        <f>SUM(J6:J9)</f>
        <v>2849.487813953488</v>
      </c>
      <c r="K10" s="14">
        <f>SUM(K6:K9)</f>
        <v>783.6091488372093</v>
      </c>
      <c r="L10" s="14"/>
      <c r="M10" s="37">
        <f>SUM(M6:M9)</f>
        <v>222.2</v>
      </c>
      <c r="N10" s="37"/>
      <c r="O10" s="38">
        <f>SUM(O6:O9)</f>
        <v>3229.79936</v>
      </c>
      <c r="P10" s="14">
        <f>SUM(P6:P9)</f>
        <v>6862.896322790697</v>
      </c>
      <c r="Q10" s="8">
        <v>0</v>
      </c>
      <c r="R10" s="8"/>
      <c r="S10" s="41">
        <f t="shared" si="1"/>
        <v>6862.896322790697</v>
      </c>
    </row>
    <row r="11" spans="1:19" ht="15.75" customHeight="1">
      <c r="A11" s="4">
        <v>1</v>
      </c>
      <c r="B11" s="5" t="s">
        <v>31</v>
      </c>
      <c r="C11" s="6" t="s">
        <v>32</v>
      </c>
      <c r="D11" s="16">
        <f>5.714*$D$8</f>
        <v>27.48434</v>
      </c>
      <c r="E11" s="7"/>
      <c r="F11" s="7" t="s">
        <v>28</v>
      </c>
      <c r="G11" s="7"/>
      <c r="H11" s="8">
        <f>D11/24.3</f>
        <v>1.1310427983539093</v>
      </c>
      <c r="I11" s="8">
        <v>142</v>
      </c>
      <c r="J11" s="8">
        <f>H11*I11*2</f>
        <v>321.21615473251023</v>
      </c>
      <c r="K11" s="8">
        <f aca="true" t="shared" si="2" ref="K11:K18">J11*0.275</f>
        <v>88.33444255144032</v>
      </c>
      <c r="L11" s="8"/>
      <c r="M11" s="35"/>
      <c r="N11" s="35"/>
      <c r="O11" s="36"/>
      <c r="P11" s="8">
        <f t="shared" si="0"/>
        <v>409.55059728395054</v>
      </c>
      <c r="Q11" s="8">
        <v>0</v>
      </c>
      <c r="R11" s="8"/>
      <c r="S11" s="8">
        <f t="shared" si="1"/>
        <v>409.55059728395054</v>
      </c>
    </row>
    <row r="12" spans="1:19" ht="12" customHeight="1">
      <c r="A12" s="17">
        <v>2</v>
      </c>
      <c r="B12" s="5" t="s">
        <v>33</v>
      </c>
      <c r="C12" s="6" t="s">
        <v>32</v>
      </c>
      <c r="D12" s="16">
        <f>5.714*$D$8</f>
        <v>27.48434</v>
      </c>
      <c r="E12" s="7" t="s">
        <v>24</v>
      </c>
      <c r="F12" s="7"/>
      <c r="G12" s="8">
        <v>1</v>
      </c>
      <c r="H12" s="18"/>
      <c r="I12" s="8">
        <v>182.64</v>
      </c>
      <c r="J12" s="8">
        <f>G12*I12*2</f>
        <v>365.28</v>
      </c>
      <c r="K12" s="8">
        <f t="shared" si="2"/>
        <v>100.452</v>
      </c>
      <c r="L12" s="8"/>
      <c r="M12" s="35">
        <v>50</v>
      </c>
      <c r="N12" s="35">
        <v>14.61</v>
      </c>
      <c r="O12" s="36">
        <f>(M12*N12)+(M12*0.07*20.84)</f>
        <v>803.44</v>
      </c>
      <c r="P12" s="8">
        <f t="shared" si="0"/>
        <v>1269.172</v>
      </c>
      <c r="Q12" s="8">
        <v>0</v>
      </c>
      <c r="R12" s="8"/>
      <c r="S12" s="8">
        <f t="shared" si="1"/>
        <v>1269.172</v>
      </c>
    </row>
    <row r="13" spans="1:19" ht="15.75" customHeight="1">
      <c r="A13" s="4">
        <v>3</v>
      </c>
      <c r="B13" s="5" t="s">
        <v>34</v>
      </c>
      <c r="C13" s="6" t="s">
        <v>32</v>
      </c>
      <c r="D13" s="16">
        <f>5.714*$D$8</f>
        <v>27.48434</v>
      </c>
      <c r="E13" s="7"/>
      <c r="F13" s="7" t="s">
        <v>28</v>
      </c>
      <c r="G13" s="7"/>
      <c r="H13" s="8">
        <f>D13/74</f>
        <v>0.37141</v>
      </c>
      <c r="I13" s="8">
        <v>142</v>
      </c>
      <c r="J13" s="8">
        <f>H13*I13*2</f>
        <v>105.48044</v>
      </c>
      <c r="K13" s="8">
        <f t="shared" si="2"/>
        <v>29.007121</v>
      </c>
      <c r="L13" s="8"/>
      <c r="M13" s="35"/>
      <c r="N13" s="35"/>
      <c r="O13" s="36"/>
      <c r="P13" s="8">
        <f t="shared" si="0"/>
        <v>134.487561</v>
      </c>
      <c r="Q13" s="8">
        <v>0</v>
      </c>
      <c r="R13" s="8"/>
      <c r="S13" s="8">
        <f t="shared" si="1"/>
        <v>134.487561</v>
      </c>
    </row>
    <row r="14" spans="1:19" ht="15.75" customHeight="1">
      <c r="A14" s="4">
        <v>4</v>
      </c>
      <c r="B14" s="5" t="s">
        <v>35</v>
      </c>
      <c r="C14" s="6" t="s">
        <v>32</v>
      </c>
      <c r="D14" s="16">
        <f>5.714*$D$8</f>
        <v>27.48434</v>
      </c>
      <c r="E14" s="7"/>
      <c r="F14" s="7" t="s">
        <v>28</v>
      </c>
      <c r="G14" s="7"/>
      <c r="H14" s="8">
        <f>D14/45.8</f>
        <v>0.6000947598253276</v>
      </c>
      <c r="I14" s="8">
        <v>118.32</v>
      </c>
      <c r="J14" s="8">
        <f>H14*I14*2</f>
        <v>142.0064239650655</v>
      </c>
      <c r="K14" s="8">
        <f t="shared" si="2"/>
        <v>39.051766590393015</v>
      </c>
      <c r="L14" s="8"/>
      <c r="M14" s="35"/>
      <c r="N14" s="35"/>
      <c r="O14" s="36"/>
      <c r="P14" s="8">
        <f t="shared" si="0"/>
        <v>181.0581905554585</v>
      </c>
      <c r="Q14" s="8">
        <v>0</v>
      </c>
      <c r="R14" s="8"/>
      <c r="S14" s="8">
        <f t="shared" si="1"/>
        <v>181.0581905554585</v>
      </c>
    </row>
    <row r="15" spans="1:19" ht="22.5" customHeight="1">
      <c r="A15" s="4">
        <v>5</v>
      </c>
      <c r="B15" s="5" t="s">
        <v>36</v>
      </c>
      <c r="C15" s="6" t="s">
        <v>32</v>
      </c>
      <c r="D15" s="16">
        <f>5.714*$D$8</f>
        <v>27.48434</v>
      </c>
      <c r="E15" s="7"/>
      <c r="F15" s="7" t="s">
        <v>28</v>
      </c>
      <c r="G15" s="7"/>
      <c r="H15" s="8">
        <f>D15/34</f>
        <v>0.8083629411764706</v>
      </c>
      <c r="I15" s="8">
        <v>130.16</v>
      </c>
      <c r="J15" s="8">
        <f>H15*I15*2</f>
        <v>210.4330408470588</v>
      </c>
      <c r="K15" s="8">
        <f t="shared" si="2"/>
        <v>57.86908623294118</v>
      </c>
      <c r="L15" s="8"/>
      <c r="M15" s="35"/>
      <c r="N15" s="35"/>
      <c r="O15" s="36"/>
      <c r="P15" s="8">
        <f t="shared" si="0"/>
        <v>268.30212708</v>
      </c>
      <c r="Q15" s="8">
        <v>0</v>
      </c>
      <c r="R15" s="8"/>
      <c r="S15" s="8">
        <f t="shared" si="1"/>
        <v>268.30212708</v>
      </c>
    </row>
    <row r="16" spans="1:19" ht="24" customHeight="1">
      <c r="A16" s="4">
        <v>6</v>
      </c>
      <c r="B16" s="5" t="s">
        <v>37</v>
      </c>
      <c r="C16" s="6" t="s">
        <v>19</v>
      </c>
      <c r="D16" s="7"/>
      <c r="E16" s="7" t="s">
        <v>24</v>
      </c>
      <c r="F16" s="7"/>
      <c r="G16" s="19">
        <f>ROUNDUP(H17/20,0)</f>
        <v>3</v>
      </c>
      <c r="H16" s="9"/>
      <c r="I16" s="8">
        <v>182.64</v>
      </c>
      <c r="J16" s="8">
        <f>G16*I16*2</f>
        <v>1095.84</v>
      </c>
      <c r="K16" s="8">
        <f t="shared" si="2"/>
        <v>301.356</v>
      </c>
      <c r="L16" s="8" t="s">
        <v>25</v>
      </c>
      <c r="M16" s="35">
        <f>170*G16*0.3</f>
        <v>153</v>
      </c>
      <c r="N16" s="35">
        <v>14.61</v>
      </c>
      <c r="O16" s="36">
        <f>(M16*N16)+(M16*0.07*20.84)</f>
        <v>2458.5263999999997</v>
      </c>
      <c r="P16" s="8">
        <f t="shared" si="0"/>
        <v>3855.7223999999997</v>
      </c>
      <c r="Q16" s="8">
        <v>0</v>
      </c>
      <c r="R16" s="8"/>
      <c r="S16" s="8">
        <f t="shared" si="1"/>
        <v>3855.7223999999997</v>
      </c>
    </row>
    <row r="17" spans="1:19" ht="24" customHeight="1">
      <c r="A17" s="17">
        <v>7</v>
      </c>
      <c r="B17" s="5" t="s">
        <v>38</v>
      </c>
      <c r="C17" s="6" t="s">
        <v>39</v>
      </c>
      <c r="D17" s="19">
        <f>5.714*$D$8*1000</f>
        <v>27484.34</v>
      </c>
      <c r="E17" s="7"/>
      <c r="F17" s="7" t="s">
        <v>40</v>
      </c>
      <c r="G17" s="7"/>
      <c r="H17" s="8">
        <f>D17/648</f>
        <v>42.414104938271606</v>
      </c>
      <c r="I17" s="8">
        <v>159.76</v>
      </c>
      <c r="J17" s="8">
        <f>H17*I17*2</f>
        <v>13552.154809876543</v>
      </c>
      <c r="K17" s="8">
        <f t="shared" si="2"/>
        <v>3726.8425727160497</v>
      </c>
      <c r="L17" s="8"/>
      <c r="M17" s="35">
        <v>27484</v>
      </c>
      <c r="N17" s="35">
        <v>0.77</v>
      </c>
      <c r="O17" s="36">
        <f>M17*N17</f>
        <v>21162.68</v>
      </c>
      <c r="P17" s="8">
        <f t="shared" si="0"/>
        <v>38441.67738259259</v>
      </c>
      <c r="Q17" s="8">
        <v>0</v>
      </c>
      <c r="R17" s="8"/>
      <c r="S17" s="8">
        <f t="shared" si="1"/>
        <v>38441.67738259259</v>
      </c>
    </row>
    <row r="18" spans="1:19" ht="12.75" customHeight="1">
      <c r="A18" s="17">
        <v>8</v>
      </c>
      <c r="B18" s="5" t="s">
        <v>50</v>
      </c>
      <c r="C18" s="6" t="s">
        <v>39</v>
      </c>
      <c r="D18" s="16">
        <v>4</v>
      </c>
      <c r="E18" s="7"/>
      <c r="F18" s="7"/>
      <c r="G18" s="7"/>
      <c r="H18" s="8">
        <v>0.55</v>
      </c>
      <c r="I18" s="8">
        <v>135.53</v>
      </c>
      <c r="J18" s="8">
        <f>I18*H18*2</f>
        <v>149.08300000000003</v>
      </c>
      <c r="K18" s="8">
        <f t="shared" si="2"/>
        <v>40.99782500000001</v>
      </c>
      <c r="L18" s="8"/>
      <c r="M18" s="35">
        <v>4</v>
      </c>
      <c r="N18" s="35">
        <v>43.08</v>
      </c>
      <c r="O18" s="36">
        <f>M18*N18</f>
        <v>172.32</v>
      </c>
      <c r="P18" s="8">
        <f t="shared" si="0"/>
        <v>362.40082500000005</v>
      </c>
      <c r="Q18" s="8">
        <v>0</v>
      </c>
      <c r="R18" s="8"/>
      <c r="S18" s="8">
        <f t="shared" si="1"/>
        <v>362.40082500000005</v>
      </c>
    </row>
    <row r="19" spans="1:19" ht="15">
      <c r="A19" s="49" t="s">
        <v>41</v>
      </c>
      <c r="B19" s="49"/>
      <c r="C19" s="12"/>
      <c r="D19" s="13"/>
      <c r="E19" s="13"/>
      <c r="F19" s="13"/>
      <c r="G19" s="14">
        <f>SUM(G11:G18)</f>
        <v>4</v>
      </c>
      <c r="H19" s="14">
        <f>SUM(H11:H18)</f>
        <v>45.87501543762731</v>
      </c>
      <c r="I19" s="14"/>
      <c r="J19" s="14">
        <f>SUM(J11:J18)</f>
        <v>15941.49386942118</v>
      </c>
      <c r="K19" s="14">
        <f>SUM(K11:K18)</f>
        <v>4383.910814090825</v>
      </c>
      <c r="L19" s="14"/>
      <c r="M19" s="37">
        <f>SUM(M11:M17)</f>
        <v>27687</v>
      </c>
      <c r="N19" s="37"/>
      <c r="O19" s="38">
        <f>SUM(O11:O18)</f>
        <v>24596.9664</v>
      </c>
      <c r="P19" s="14">
        <f>SUM(P11:P18)</f>
        <v>44922.371083512</v>
      </c>
      <c r="Q19" s="8">
        <v>0</v>
      </c>
      <c r="R19" s="8"/>
      <c r="S19" s="41">
        <f t="shared" si="1"/>
        <v>44922.371083512</v>
      </c>
    </row>
    <row r="20" spans="1:19" s="21" customFormat="1" ht="22.5">
      <c r="A20" s="20"/>
      <c r="B20" s="24" t="s">
        <v>58</v>
      </c>
      <c r="C20" s="26" t="s">
        <v>19</v>
      </c>
      <c r="D20" s="27"/>
      <c r="E20" s="27"/>
      <c r="F20" s="27"/>
      <c r="G20" s="27">
        <v>18</v>
      </c>
      <c r="H20" s="28"/>
      <c r="I20" s="28">
        <v>182.64</v>
      </c>
      <c r="J20" s="28">
        <f>I20*G20*2</f>
        <v>6575.039999999999</v>
      </c>
      <c r="K20" s="28">
        <f>J20*0.275</f>
        <v>1808.136</v>
      </c>
      <c r="L20" s="28" t="s">
        <v>25</v>
      </c>
      <c r="M20" s="39">
        <v>918</v>
      </c>
      <c r="N20" s="39">
        <v>14.61</v>
      </c>
      <c r="O20" s="36">
        <f>(M20*N20)+(M20*0.07*20.84)</f>
        <v>14751.1584</v>
      </c>
      <c r="P20" s="8">
        <f t="shared" si="0"/>
        <v>23134.3344</v>
      </c>
      <c r="Q20" s="8">
        <v>0</v>
      </c>
      <c r="R20" s="8"/>
      <c r="S20" s="8">
        <f t="shared" si="1"/>
        <v>23134.3344</v>
      </c>
    </row>
    <row r="21" spans="1:19" s="21" customFormat="1" ht="15">
      <c r="A21" s="20"/>
      <c r="B21" s="22" t="s">
        <v>56</v>
      </c>
      <c r="C21" s="26" t="s">
        <v>57</v>
      </c>
      <c r="D21" s="27">
        <f>2000*4.81*15</f>
        <v>144300</v>
      </c>
      <c r="E21" s="27"/>
      <c r="F21" s="27" t="s">
        <v>28</v>
      </c>
      <c r="G21" s="27"/>
      <c r="H21" s="28">
        <f>D21/400</f>
        <v>360.75</v>
      </c>
      <c r="I21" s="28">
        <v>130.16</v>
      </c>
      <c r="J21" s="28">
        <f>I21*H21*2</f>
        <v>93910.44</v>
      </c>
      <c r="K21" s="28">
        <f>J21*0.275</f>
        <v>25825.371000000003</v>
      </c>
      <c r="L21" s="28"/>
      <c r="M21" s="39"/>
      <c r="N21" s="39"/>
      <c r="O21" s="40"/>
      <c r="P21" s="8">
        <f t="shared" si="0"/>
        <v>119735.811</v>
      </c>
      <c r="Q21" s="8">
        <v>0</v>
      </c>
      <c r="R21" s="8"/>
      <c r="S21" s="8">
        <f t="shared" si="1"/>
        <v>119735.811</v>
      </c>
    </row>
    <row r="22" spans="1:19" s="21" customFormat="1" ht="15">
      <c r="A22" s="20"/>
      <c r="B22" s="23" t="s">
        <v>51</v>
      </c>
      <c r="C22" s="12"/>
      <c r="D22" s="13"/>
      <c r="E22" s="13"/>
      <c r="F22" s="13"/>
      <c r="G22" s="14">
        <f>SUM(G20:G21)</f>
        <v>18</v>
      </c>
      <c r="H22" s="14">
        <f>SUM(H20:H21)</f>
        <v>360.75</v>
      </c>
      <c r="I22" s="14"/>
      <c r="J22" s="14">
        <f>SUM(J20:J21)</f>
        <v>100485.48</v>
      </c>
      <c r="K22" s="14">
        <f>SUM(K20:K21)</f>
        <v>27633.507</v>
      </c>
      <c r="L22" s="14"/>
      <c r="M22" s="37"/>
      <c r="N22" s="37"/>
      <c r="O22" s="38">
        <f>O20</f>
        <v>14751.1584</v>
      </c>
      <c r="P22" s="14">
        <f>SUM(P20:P21)</f>
        <v>142870.1454</v>
      </c>
      <c r="Q22" s="8">
        <v>0</v>
      </c>
      <c r="R22" s="8"/>
      <c r="S22" s="41">
        <f t="shared" si="1"/>
        <v>142870.1454</v>
      </c>
    </row>
    <row r="23" spans="1:19" s="21" customFormat="1" ht="22.5">
      <c r="A23" s="20"/>
      <c r="B23" s="24" t="s">
        <v>59</v>
      </c>
      <c r="C23" s="26" t="s">
        <v>19</v>
      </c>
      <c r="D23" s="27"/>
      <c r="E23" s="27"/>
      <c r="F23" s="27"/>
      <c r="G23" s="27">
        <v>1</v>
      </c>
      <c r="H23" s="28"/>
      <c r="I23" s="28">
        <v>182.64</v>
      </c>
      <c r="J23" s="28">
        <f>I23*G23*2</f>
        <v>365.28</v>
      </c>
      <c r="K23" s="28">
        <f>J23*0.275</f>
        <v>100.452</v>
      </c>
      <c r="L23" s="28" t="s">
        <v>25</v>
      </c>
      <c r="M23" s="39">
        <v>51</v>
      </c>
      <c r="N23" s="39">
        <v>14.61</v>
      </c>
      <c r="O23" s="36">
        <f>(M23*N23)+(M23*0.07*20.84)</f>
        <v>819.5088000000001</v>
      </c>
      <c r="P23" s="8">
        <f t="shared" si="0"/>
        <v>1285.2408</v>
      </c>
      <c r="Q23" s="8">
        <v>0</v>
      </c>
      <c r="R23" s="8"/>
      <c r="S23" s="8">
        <f t="shared" si="1"/>
        <v>1285.2408</v>
      </c>
    </row>
    <row r="24" spans="1:19" s="21" customFormat="1" ht="15">
      <c r="A24" s="20"/>
      <c r="B24" s="22" t="s">
        <v>52</v>
      </c>
      <c r="C24" s="26" t="s">
        <v>39</v>
      </c>
      <c r="D24" s="27">
        <v>5497</v>
      </c>
      <c r="E24" s="27"/>
      <c r="F24" s="27" t="s">
        <v>28</v>
      </c>
      <c r="G24" s="27"/>
      <c r="H24" s="28">
        <f>D24/637</f>
        <v>8.629513343799058</v>
      </c>
      <c r="I24" s="28">
        <v>159.76</v>
      </c>
      <c r="J24" s="28">
        <f>I24*H24*2</f>
        <v>2757.3021036106747</v>
      </c>
      <c r="K24" s="28">
        <f>J24*0.275</f>
        <v>758.2580784929356</v>
      </c>
      <c r="L24" s="28"/>
      <c r="M24" s="39">
        <v>5497</v>
      </c>
      <c r="N24" s="39">
        <v>0.77</v>
      </c>
      <c r="O24" s="40">
        <f>M24*N24</f>
        <v>4232.6900000000005</v>
      </c>
      <c r="P24" s="8">
        <f t="shared" si="0"/>
        <v>7748.250182103611</v>
      </c>
      <c r="Q24" s="8">
        <v>0</v>
      </c>
      <c r="R24" s="8"/>
      <c r="S24" s="8">
        <f t="shared" si="1"/>
        <v>7748.250182103611</v>
      </c>
    </row>
    <row r="25" spans="1:19" s="21" customFormat="1" ht="15">
      <c r="A25" s="13"/>
      <c r="B25" s="23" t="s">
        <v>53</v>
      </c>
      <c r="C25" s="12"/>
      <c r="D25" s="13"/>
      <c r="E25" s="13"/>
      <c r="F25" s="13"/>
      <c r="G25" s="14">
        <f>SUM(G23:G24)</f>
        <v>1</v>
      </c>
      <c r="H25" s="14">
        <f>SUM(H23:H24)</f>
        <v>8.629513343799058</v>
      </c>
      <c r="I25" s="14"/>
      <c r="J25" s="14">
        <f>SUM(J23:J24)</f>
        <v>3122.5821036106745</v>
      </c>
      <c r="K25" s="14">
        <f>SUM(K23:K24)</f>
        <v>858.7100784929356</v>
      </c>
      <c r="L25" s="14"/>
      <c r="M25" s="14">
        <f>SUM(M23:M24)</f>
        <v>5548</v>
      </c>
      <c r="N25" s="37"/>
      <c r="O25" s="14">
        <f>SUM(O23:O24)</f>
        <v>5052.1988</v>
      </c>
      <c r="P25" s="14">
        <f>SUM(P23:P24)</f>
        <v>9033.49098210361</v>
      </c>
      <c r="Q25" s="8">
        <v>0</v>
      </c>
      <c r="R25" s="8"/>
      <c r="S25" s="41">
        <f t="shared" si="1"/>
        <v>9033.49098210361</v>
      </c>
    </row>
    <row r="26" spans="1:19" s="29" customFormat="1" ht="15">
      <c r="A26" s="27"/>
      <c r="B26" s="25" t="s">
        <v>54</v>
      </c>
      <c r="C26" s="26" t="s">
        <v>19</v>
      </c>
      <c r="D26" s="27">
        <v>645</v>
      </c>
      <c r="E26" s="27"/>
      <c r="F26" s="27"/>
      <c r="G26" s="27"/>
      <c r="H26" s="28">
        <v>645</v>
      </c>
      <c r="I26" s="28">
        <v>110.7</v>
      </c>
      <c r="J26" s="28">
        <v>71400</v>
      </c>
      <c r="K26" s="28">
        <f>J26*0.275</f>
        <v>19635</v>
      </c>
      <c r="L26" s="28"/>
      <c r="M26" s="39"/>
      <c r="N26" s="39"/>
      <c r="O26" s="40"/>
      <c r="P26" s="8">
        <f t="shared" si="0"/>
        <v>91035</v>
      </c>
      <c r="Q26" s="8">
        <v>0</v>
      </c>
      <c r="R26" s="8"/>
      <c r="S26" s="8">
        <f t="shared" si="1"/>
        <v>91035</v>
      </c>
    </row>
    <row r="27" spans="1:19" s="21" customFormat="1" ht="15">
      <c r="A27" s="13"/>
      <c r="B27" s="30" t="s">
        <v>55</v>
      </c>
      <c r="C27" s="31"/>
      <c r="D27" s="32"/>
      <c r="E27" s="32"/>
      <c r="F27" s="32"/>
      <c r="G27" s="32"/>
      <c r="H27" s="33">
        <f>SUM(H26)</f>
        <v>645</v>
      </c>
      <c r="I27" s="33"/>
      <c r="J27" s="33">
        <f>SUM(J26)</f>
        <v>71400</v>
      </c>
      <c r="K27" s="33">
        <f>SUM(K26)</f>
        <v>19635</v>
      </c>
      <c r="L27" s="33"/>
      <c r="M27" s="34"/>
      <c r="N27" s="32"/>
      <c r="O27" s="42"/>
      <c r="P27" s="33">
        <f>SUM(J27:O27)</f>
        <v>91035</v>
      </c>
      <c r="Q27" s="8">
        <v>0</v>
      </c>
      <c r="R27" s="8"/>
      <c r="S27" s="41">
        <f t="shared" si="1"/>
        <v>91035</v>
      </c>
    </row>
    <row r="28" spans="1:19" s="21" customFormat="1" ht="15">
      <c r="A28" s="43"/>
      <c r="B28" s="44" t="s">
        <v>64</v>
      </c>
      <c r="C28" s="13"/>
      <c r="D28" s="13"/>
      <c r="E28" s="13"/>
      <c r="F28" s="13"/>
      <c r="G28" s="14">
        <f>G10+G19+G22+G25+G27</f>
        <v>25.85</v>
      </c>
      <c r="H28" s="14">
        <f>H10+H19+H22+H25+H27</f>
        <v>1065.8475520372403</v>
      </c>
      <c r="I28" s="14"/>
      <c r="J28" s="14">
        <f>J10+J19+J22+J25+J27</f>
        <v>193799.04378698533</v>
      </c>
      <c r="K28" s="14">
        <f>K10+K19+K22+K25+K27</f>
        <v>53294.73704142097</v>
      </c>
      <c r="L28" s="14"/>
      <c r="M28" s="15"/>
      <c r="N28" s="13"/>
      <c r="O28" s="14">
        <f>O10+O19+O22+O25+O27</f>
        <v>47630.12296</v>
      </c>
      <c r="P28" s="14">
        <f>P10+P19+P22+P25+P27</f>
        <v>294723.9037884063</v>
      </c>
      <c r="Q28" s="8">
        <v>0</v>
      </c>
      <c r="R28" s="41">
        <f>D9*577</f>
        <v>2775.37</v>
      </c>
      <c r="S28" s="41">
        <f>P28+Q28+R28</f>
        <v>297499.2737884063</v>
      </c>
    </row>
    <row r="29" spans="1:19" s="21" customFormat="1" ht="15">
      <c r="A29" s="55" t="s">
        <v>63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1:19" ht="15" customHeight="1">
      <c r="A30" s="4">
        <v>1</v>
      </c>
      <c r="B30" s="5" t="s">
        <v>22</v>
      </c>
      <c r="C30" s="6" t="s">
        <v>42</v>
      </c>
      <c r="D30" s="7"/>
      <c r="E30" s="7"/>
      <c r="F30" s="7"/>
      <c r="G30" s="7"/>
      <c r="H30" s="8"/>
      <c r="I30" s="8"/>
      <c r="J30" s="8"/>
      <c r="K30" s="8"/>
      <c r="L30" s="8"/>
      <c r="M30" s="7">
        <f>M6+M9</f>
        <v>171.2</v>
      </c>
      <c r="N30" s="7">
        <v>12.62</v>
      </c>
      <c r="O30" s="8">
        <f>M30*N30</f>
        <v>2160.544</v>
      </c>
      <c r="P30" s="8">
        <f>O30</f>
        <v>2160.544</v>
      </c>
      <c r="Q30" s="8">
        <v>0</v>
      </c>
      <c r="R30" s="8"/>
      <c r="S30" s="8">
        <f t="shared" si="1"/>
        <v>2160.544</v>
      </c>
    </row>
    <row r="31" spans="1:19" ht="15" customHeight="1">
      <c r="A31" s="4">
        <v>2</v>
      </c>
      <c r="B31" s="5" t="s">
        <v>25</v>
      </c>
      <c r="C31" s="6" t="s">
        <v>42</v>
      </c>
      <c r="D31" s="7"/>
      <c r="E31" s="7"/>
      <c r="F31" s="7"/>
      <c r="G31" s="7"/>
      <c r="H31" s="8"/>
      <c r="I31" s="8"/>
      <c r="J31" s="8"/>
      <c r="K31" s="8"/>
      <c r="L31" s="8"/>
      <c r="M31" s="7">
        <v>1223</v>
      </c>
      <c r="N31" s="7">
        <v>14.61</v>
      </c>
      <c r="O31" s="8">
        <f>M31*N31</f>
        <v>17868.03</v>
      </c>
      <c r="P31" s="8">
        <f>O31</f>
        <v>17868.03</v>
      </c>
      <c r="Q31" s="8">
        <v>0</v>
      </c>
      <c r="R31" s="8"/>
      <c r="S31" s="8">
        <f t="shared" si="1"/>
        <v>17868.03</v>
      </c>
    </row>
    <row r="32" spans="1:20" ht="15" customHeight="1">
      <c r="A32" s="4">
        <v>3</v>
      </c>
      <c r="B32" s="5" t="s">
        <v>43</v>
      </c>
      <c r="C32" s="6" t="s">
        <v>42</v>
      </c>
      <c r="D32" s="7"/>
      <c r="E32" s="7"/>
      <c r="F32" s="7"/>
      <c r="G32" s="7"/>
      <c r="H32" s="8"/>
      <c r="I32" s="8"/>
      <c r="J32" s="8"/>
      <c r="K32" s="8"/>
      <c r="L32" s="8"/>
      <c r="M32" s="7">
        <f>SUM(M30:M31)*0.07</f>
        <v>97.59400000000001</v>
      </c>
      <c r="N32" s="7">
        <v>20.84</v>
      </c>
      <c r="O32" s="8">
        <f>M32*N32</f>
        <v>2033.8589600000003</v>
      </c>
      <c r="P32" s="8">
        <f>O32</f>
        <v>2033.8589600000003</v>
      </c>
      <c r="Q32" s="8">
        <v>0</v>
      </c>
      <c r="R32" s="8"/>
      <c r="S32" s="8">
        <f t="shared" si="1"/>
        <v>2033.8589600000003</v>
      </c>
      <c r="T32" s="48"/>
    </row>
    <row r="33" spans="1:19" ht="15" customHeight="1">
      <c r="A33" s="4">
        <v>4</v>
      </c>
      <c r="B33" s="5" t="s">
        <v>44</v>
      </c>
      <c r="C33" s="6" t="s">
        <v>32</v>
      </c>
      <c r="D33" s="7"/>
      <c r="E33" s="7"/>
      <c r="F33" s="7"/>
      <c r="G33" s="7"/>
      <c r="H33" s="8"/>
      <c r="I33" s="8"/>
      <c r="J33" s="8"/>
      <c r="K33" s="8"/>
      <c r="L33" s="8"/>
      <c r="M33" s="16">
        <v>32.981</v>
      </c>
      <c r="N33" s="7">
        <v>0.77</v>
      </c>
      <c r="O33" s="8">
        <f>M33*N33*1000</f>
        <v>25395.370000000003</v>
      </c>
      <c r="P33" s="8">
        <f>O33</f>
        <v>25395.370000000003</v>
      </c>
      <c r="Q33" s="8">
        <v>0</v>
      </c>
      <c r="R33" s="8"/>
      <c r="S33" s="8">
        <f t="shared" si="1"/>
        <v>25395.370000000003</v>
      </c>
    </row>
    <row r="34" spans="1:19" ht="15" customHeight="1">
      <c r="A34" s="4">
        <v>5</v>
      </c>
      <c r="B34" s="5" t="s">
        <v>62</v>
      </c>
      <c r="C34" s="6" t="s">
        <v>39</v>
      </c>
      <c r="D34" s="7"/>
      <c r="E34" s="7"/>
      <c r="F34" s="7"/>
      <c r="G34" s="7"/>
      <c r="H34" s="8"/>
      <c r="I34" s="8"/>
      <c r="J34" s="8"/>
      <c r="K34" s="8"/>
      <c r="L34" s="8"/>
      <c r="M34" s="16">
        <v>4</v>
      </c>
      <c r="N34" s="7">
        <v>43.08</v>
      </c>
      <c r="O34" s="8">
        <f>N34*M34</f>
        <v>172.32</v>
      </c>
      <c r="P34" s="8">
        <v>172.32</v>
      </c>
      <c r="Q34" s="8">
        <v>0</v>
      </c>
      <c r="R34" s="8"/>
      <c r="S34" s="8">
        <f t="shared" si="1"/>
        <v>172.32</v>
      </c>
    </row>
    <row r="35" spans="1:19" ht="15" customHeight="1">
      <c r="A35" s="49" t="s">
        <v>45</v>
      </c>
      <c r="B35" s="49"/>
      <c r="C35" s="12"/>
      <c r="D35" s="13"/>
      <c r="E35" s="13"/>
      <c r="F35" s="13"/>
      <c r="G35" s="13"/>
      <c r="H35" s="14"/>
      <c r="I35" s="14"/>
      <c r="J35" s="14"/>
      <c r="K35" s="14"/>
      <c r="L35" s="14"/>
      <c r="M35" s="13"/>
      <c r="N35" s="13"/>
      <c r="O35" s="14">
        <f>SUM(O30:O34)</f>
        <v>47630.12296</v>
      </c>
      <c r="P35" s="14">
        <f>SUM(P30:P34)</f>
        <v>47630.12296</v>
      </c>
      <c r="Q35" s="8">
        <v>0</v>
      </c>
      <c r="R35" s="8"/>
      <c r="S35" s="41">
        <f t="shared" si="1"/>
        <v>47630.12296</v>
      </c>
    </row>
    <row r="36" spans="1:19" ht="15" customHeight="1">
      <c r="A36" s="45"/>
      <c r="B36" s="45"/>
      <c r="C36" s="45"/>
      <c r="D36" s="45"/>
      <c r="E36" s="45"/>
      <c r="F36" s="45"/>
      <c r="G36" s="45"/>
      <c r="H36" s="46"/>
      <c r="I36" s="46"/>
      <c r="J36" s="46"/>
      <c r="K36" s="46"/>
      <c r="L36" s="46"/>
      <c r="M36" s="45"/>
      <c r="N36" s="45"/>
      <c r="O36" s="46"/>
      <c r="P36" s="46"/>
      <c r="Q36" s="47"/>
      <c r="R36" s="47"/>
      <c r="S36" s="47"/>
    </row>
    <row r="37" spans="1:12" ht="15">
      <c r="A37" s="1"/>
      <c r="B37" s="9" t="s">
        <v>46</v>
      </c>
      <c r="H37" t="s">
        <v>66</v>
      </c>
      <c r="L37" t="s">
        <v>67</v>
      </c>
    </row>
  </sheetData>
  <mergeCells count="20">
    <mergeCell ref="Q4:Q5"/>
    <mergeCell ref="S4:S5"/>
    <mergeCell ref="A29:S29"/>
    <mergeCell ref="B1:P1"/>
    <mergeCell ref="B2:P2"/>
    <mergeCell ref="A19:B19"/>
    <mergeCell ref="P4:P5"/>
    <mergeCell ref="R4:R5"/>
    <mergeCell ref="L4:O4"/>
    <mergeCell ref="G4:H4"/>
    <mergeCell ref="A35:B35"/>
    <mergeCell ref="I4:I5"/>
    <mergeCell ref="J4:J5"/>
    <mergeCell ref="K4:K5"/>
    <mergeCell ref="A10:B10"/>
    <mergeCell ref="A4:A5"/>
    <mergeCell ref="B4:B5"/>
    <mergeCell ref="C4:C5"/>
    <mergeCell ref="D4:D5"/>
    <mergeCell ref="E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2018-07-04T05:57:29Z</dcterms:modified>
  <cp:category/>
  <cp:version/>
  <cp:contentType/>
  <cp:contentStatus/>
</cp:coreProperties>
</file>