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<sst xmlns="http://schemas.openxmlformats.org/spreadsheetml/2006/main" count="101" uniqueCount="68">
  <si>
    <t>Nr.    d/o</t>
  </si>
  <si>
    <t>Denumirea si continutul operatiei</t>
  </si>
  <si>
    <t>Unitatea de masura</t>
  </si>
  <si>
    <t>Volumul lucrarilor</t>
  </si>
  <si>
    <t>Cantitatea necesara</t>
  </si>
  <si>
    <t>Tariful zilnic (lei)</t>
  </si>
  <si>
    <t>Salariu Total (incl. vechimea muncii si altele)</t>
  </si>
  <si>
    <t>Fondul asigurarii sociale/medicale</t>
  </si>
  <si>
    <t>Consumul de materiale</t>
  </si>
  <si>
    <t>Total general (lei)</t>
  </si>
  <si>
    <t>Tractorul</t>
  </si>
  <si>
    <t>Utilajul</t>
  </si>
  <si>
    <t>Agregatului schimb</t>
  </si>
  <si>
    <t>Zilei-om</t>
  </si>
  <si>
    <t>Materiale</t>
  </si>
  <si>
    <t>Cantitatea</t>
  </si>
  <si>
    <t>Costul unei unitati (lei)</t>
  </si>
  <si>
    <t>Suma (lei)</t>
  </si>
  <si>
    <t>Transportarea tractorului  (150 km)</t>
  </si>
  <si>
    <t>Zile-om</t>
  </si>
  <si>
    <t>MTZ-82</t>
  </si>
  <si>
    <t>PN-2-35</t>
  </si>
  <si>
    <t>Motorina</t>
  </si>
  <si>
    <t>Transportarea oamenilor la marcarea suprafetelor (170 km)</t>
  </si>
  <si>
    <t>GAZ-53</t>
  </si>
  <si>
    <t>Benzina</t>
  </si>
  <si>
    <t>Marcarea suprafaţa pentru pregătirea solului mecanizată</t>
  </si>
  <si>
    <t>ha</t>
  </si>
  <si>
    <t>manual</t>
  </si>
  <si>
    <t>Pregatirea solului mecanizat in fisii</t>
  </si>
  <si>
    <t>TOTAL - Pregatirea Solului</t>
  </si>
  <si>
    <t>Incarcarea puietilor</t>
  </si>
  <si>
    <t>mii buc</t>
  </si>
  <si>
    <t>Transportare puietilor (150 km)</t>
  </si>
  <si>
    <t>Descarcarea puietilor</t>
  </si>
  <si>
    <t>Pregatirea puietilor perntru sadit</t>
  </si>
  <si>
    <t>Ingroparea puietilor pentru pastrarea temporara</t>
  </si>
  <si>
    <t>Transportarea oamenilor la plantarea (170 km)</t>
  </si>
  <si>
    <t>Sadirea puietilor cu hirlet "Kolesov"</t>
  </si>
  <si>
    <t>buc</t>
  </si>
  <si>
    <t>hirlet "Kolesov"</t>
  </si>
  <si>
    <t>TOTAL - Plantare</t>
  </si>
  <si>
    <t>litru</t>
  </si>
  <si>
    <t>Ulei</t>
  </si>
  <si>
    <t>Material saditor</t>
  </si>
  <si>
    <t>TOTAL - Materiale</t>
  </si>
  <si>
    <t>ex. I. Prodaus</t>
  </si>
  <si>
    <t>Primaria Alexeevca 10,88 ha pregătirea solului mecanizat fîşii 0,7x2,5m, plantarea manual 0,7x2,5m cu hîrleţ Kolesov.</t>
  </si>
  <si>
    <t>HARTA TEHNOLOGICA  Crearea culturi silvice de salcim alb pe terenuri degradatete</t>
  </si>
  <si>
    <t>Colectarea și îngroparea stîlpilor</t>
  </si>
  <si>
    <t>Stîlpi</t>
  </si>
  <si>
    <t>Componenta agregatului</t>
  </si>
  <si>
    <t>Prăşit c.s. 6 ori pe trei ani (0,5x2,5m)</t>
  </si>
  <si>
    <t>m2</t>
  </si>
  <si>
    <t>Cosit c.s. Manual 2 ori pe 2 ani (07x2,5)</t>
  </si>
  <si>
    <t>Total pe îngrijirea c.s.</t>
  </si>
  <si>
    <t>Completarea c.s. 20% (0,7x2,5)</t>
  </si>
  <si>
    <t xml:space="preserve"> buc</t>
  </si>
  <si>
    <t>Total completarea c.s.</t>
  </si>
  <si>
    <t>Transportarea lucrătorilor la ingrijirea c.s. Distanţa-170 km</t>
  </si>
  <si>
    <t>Transportarea lucrătorilor la completarea c.s. Distanţa-170 km</t>
  </si>
  <si>
    <t>Total consumuri directe</t>
  </si>
  <si>
    <t>Total consumuri indirecte</t>
  </si>
  <si>
    <t>Total General</t>
  </si>
  <si>
    <t>INCLUSIV DESCIFRARE MATERIALE</t>
  </si>
  <si>
    <t>Lucrări de proiectare şi pregătire a pachetului de acte pentru prezentarea la FEN 577 lei/ha</t>
  </si>
  <si>
    <t>Persoana responsabilă</t>
  </si>
  <si>
    <t>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</si>
</sst>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30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6" fillId="2" borderId="0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workbookViewId="0" topLeftCell="A4">
      <selection activeCell="C6" sqref="C6:D26"/>
    </sheetView>
  </sheetViews>
  <sheetFormatPr defaultColWidth="9.140625" defaultRowHeight="15"/>
  <cols>
    <col min="1" max="1" width="2.28125" style="0" customWidth="1"/>
    <col min="2" max="2" width="24.28125" style="0" customWidth="1"/>
    <col min="3" max="3" width="6.421875" style="0" customWidth="1"/>
    <col min="4" max="4" width="6.28125" style="0" customWidth="1"/>
    <col min="5" max="6" width="7.28125" style="0" customWidth="1"/>
    <col min="7" max="7" width="7.00390625" style="0" customWidth="1"/>
    <col min="8" max="8" width="7.421875" style="0" customWidth="1"/>
    <col min="9" max="9" width="7.00390625" style="0" customWidth="1"/>
    <col min="10" max="10" width="8.00390625" style="0" customWidth="1"/>
    <col min="11" max="11" width="8.8515625" style="0" customWidth="1"/>
    <col min="12" max="12" width="7.421875" style="0" customWidth="1"/>
    <col min="13" max="13" width="6.57421875" style="0" customWidth="1"/>
    <col min="14" max="14" width="5.7109375" style="0" customWidth="1"/>
    <col min="15" max="15" width="8.8515625" style="0" customWidth="1"/>
    <col min="16" max="16" width="9.28125" style="0" customWidth="1"/>
    <col min="17" max="17" width="10.421875" style="0" hidden="1" customWidth="1"/>
    <col min="18" max="18" width="10.421875" style="0" customWidth="1"/>
    <col min="19" max="19" width="10.421875" style="0" bestFit="1" customWidth="1"/>
  </cols>
  <sheetData>
    <row r="1" spans="1:16" ht="15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5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2" ht="15">
      <c r="A3" s="1"/>
      <c r="B3" s="1"/>
    </row>
    <row r="4" spans="1:19" ht="22.5" customHeight="1">
      <c r="A4" s="52" t="s">
        <v>0</v>
      </c>
      <c r="B4" s="53" t="s">
        <v>1</v>
      </c>
      <c r="C4" s="52" t="s">
        <v>2</v>
      </c>
      <c r="D4" s="52" t="s">
        <v>3</v>
      </c>
      <c r="E4" s="59" t="s">
        <v>51</v>
      </c>
      <c r="F4" s="59"/>
      <c r="G4" s="53" t="s">
        <v>4</v>
      </c>
      <c r="H4" s="53"/>
      <c r="I4" s="47" t="s">
        <v>5</v>
      </c>
      <c r="J4" s="47" t="s">
        <v>6</v>
      </c>
      <c r="K4" s="47" t="s">
        <v>7</v>
      </c>
      <c r="L4" s="49" t="s">
        <v>8</v>
      </c>
      <c r="M4" s="50"/>
      <c r="N4" s="50"/>
      <c r="O4" s="51"/>
      <c r="P4" s="47" t="s">
        <v>61</v>
      </c>
      <c r="Q4" s="47" t="s">
        <v>62</v>
      </c>
      <c r="R4" s="57" t="s">
        <v>65</v>
      </c>
      <c r="S4" s="47" t="s">
        <v>9</v>
      </c>
    </row>
    <row r="5" spans="1:19" ht="54" customHeight="1">
      <c r="A5" s="52"/>
      <c r="B5" s="53"/>
      <c r="C5" s="52"/>
      <c r="D5" s="52"/>
      <c r="E5" s="2" t="s">
        <v>10</v>
      </c>
      <c r="F5" s="2" t="s">
        <v>11</v>
      </c>
      <c r="G5" s="2" t="s">
        <v>12</v>
      </c>
      <c r="H5" s="2" t="s">
        <v>13</v>
      </c>
      <c r="I5" s="48"/>
      <c r="J5" s="48"/>
      <c r="K5" s="48"/>
      <c r="L5" s="2" t="s">
        <v>14</v>
      </c>
      <c r="M5" s="2" t="s">
        <v>15</v>
      </c>
      <c r="N5" s="2" t="s">
        <v>16</v>
      </c>
      <c r="O5" s="2" t="s">
        <v>17</v>
      </c>
      <c r="P5" s="48"/>
      <c r="Q5" s="48"/>
      <c r="R5" s="58"/>
      <c r="S5" s="48"/>
    </row>
    <row r="6" spans="1:19" ht="18.75" customHeight="1">
      <c r="A6" s="3">
        <v>1</v>
      </c>
      <c r="B6" s="4" t="s">
        <v>18</v>
      </c>
      <c r="C6" s="5" t="s">
        <v>19</v>
      </c>
      <c r="D6" s="6"/>
      <c r="E6" s="6" t="s">
        <v>20</v>
      </c>
      <c r="F6" s="6" t="s">
        <v>21</v>
      </c>
      <c r="G6" s="7">
        <v>1</v>
      </c>
      <c r="H6" s="8"/>
      <c r="I6" s="7">
        <v>162.32</v>
      </c>
      <c r="J6" s="7">
        <f>G6*I6*2</f>
        <v>324.64</v>
      </c>
      <c r="K6" s="7">
        <f>J6*0.275</f>
        <v>89.27600000000001</v>
      </c>
      <c r="L6" s="7" t="s">
        <v>22</v>
      </c>
      <c r="M6" s="29">
        <v>75</v>
      </c>
      <c r="N6" s="29">
        <v>12.62</v>
      </c>
      <c r="O6" s="30">
        <f>(M6*N6)+(M6*0.07*20.84)</f>
        <v>1055.9099999999999</v>
      </c>
      <c r="P6" s="7">
        <f>SUM(J6:K6)+O6</f>
        <v>1469.8259999999998</v>
      </c>
      <c r="Q6" s="7">
        <v>0</v>
      </c>
      <c r="R6" s="7"/>
      <c r="S6" s="7">
        <f>P6+Q6</f>
        <v>1469.8259999999998</v>
      </c>
    </row>
    <row r="7" spans="1:19" ht="23.25" customHeight="1">
      <c r="A7" s="3">
        <v>2</v>
      </c>
      <c r="B7" s="4" t="s">
        <v>23</v>
      </c>
      <c r="C7" s="5" t="s">
        <v>19</v>
      </c>
      <c r="D7" s="6"/>
      <c r="E7" s="6" t="s">
        <v>24</v>
      </c>
      <c r="F7" s="6"/>
      <c r="G7" s="7">
        <v>1</v>
      </c>
      <c r="H7" s="8"/>
      <c r="I7" s="7">
        <v>182.64</v>
      </c>
      <c r="J7" s="7">
        <f>G7*I7*2</f>
        <v>365.28</v>
      </c>
      <c r="K7" s="7">
        <f>J7*0.275</f>
        <v>100.452</v>
      </c>
      <c r="L7" s="7" t="s">
        <v>25</v>
      </c>
      <c r="M7" s="29">
        <f>170*0.3</f>
        <v>51</v>
      </c>
      <c r="N7" s="29">
        <v>14.61</v>
      </c>
      <c r="O7" s="30">
        <f>(M7*N7)+(M7*0.07*20.84)</f>
        <v>819.5088000000001</v>
      </c>
      <c r="P7" s="7">
        <f aca="true" t="shared" si="0" ref="P7:P25">SUM(J7:K7)+O7</f>
        <v>1285.2408</v>
      </c>
      <c r="Q7" s="7">
        <v>0</v>
      </c>
      <c r="R7" s="7"/>
      <c r="S7" s="7">
        <f aca="true" t="shared" si="1" ref="S7:S26">P7+Q7</f>
        <v>1285.2408</v>
      </c>
    </row>
    <row r="8" spans="1:19" ht="24" customHeight="1">
      <c r="A8" s="3">
        <v>3</v>
      </c>
      <c r="B8" s="4" t="s">
        <v>26</v>
      </c>
      <c r="C8" s="5" t="s">
        <v>27</v>
      </c>
      <c r="D8" s="10">
        <v>10.88</v>
      </c>
      <c r="E8" s="6"/>
      <c r="F8" s="6" t="s">
        <v>28</v>
      </c>
      <c r="G8" s="9"/>
      <c r="H8" s="7">
        <f>D8/0.86</f>
        <v>12.651162790697676</v>
      </c>
      <c r="I8" s="7">
        <v>130.16</v>
      </c>
      <c r="J8" s="7">
        <f>H8*I8*2</f>
        <v>3293.350697674419</v>
      </c>
      <c r="K8" s="7">
        <f>J8*0.275</f>
        <v>905.6714418604653</v>
      </c>
      <c r="L8" s="7"/>
      <c r="M8" s="29"/>
      <c r="N8" s="29"/>
      <c r="O8" s="30"/>
      <c r="P8" s="7">
        <f t="shared" si="0"/>
        <v>4199.022139534884</v>
      </c>
      <c r="Q8" s="7">
        <v>0</v>
      </c>
      <c r="R8" s="7"/>
      <c r="S8" s="7">
        <f t="shared" si="1"/>
        <v>4199.022139534884</v>
      </c>
    </row>
    <row r="9" spans="1:19" ht="16.5" customHeight="1">
      <c r="A9" s="3">
        <v>4</v>
      </c>
      <c r="B9" s="4" t="s">
        <v>29</v>
      </c>
      <c r="C9" s="5" t="s">
        <v>27</v>
      </c>
      <c r="D9" s="6">
        <f>D8</f>
        <v>10.88</v>
      </c>
      <c r="E9" s="6" t="s">
        <v>20</v>
      </c>
      <c r="F9" s="6" t="s">
        <v>21</v>
      </c>
      <c r="G9" s="7">
        <f>D9/2.6</f>
        <v>4.184615384615385</v>
      </c>
      <c r="H9" s="8"/>
      <c r="I9" s="7">
        <v>190.16</v>
      </c>
      <c r="J9" s="7">
        <f>G9*I9*2</f>
        <v>1591.492923076923</v>
      </c>
      <c r="K9" s="7">
        <f>J9*0.275</f>
        <v>437.66055384615385</v>
      </c>
      <c r="L9" s="7" t="s">
        <v>22</v>
      </c>
      <c r="M9" s="29">
        <f>20*D9</f>
        <v>217.60000000000002</v>
      </c>
      <c r="N9" s="29">
        <v>12.62</v>
      </c>
      <c r="O9" s="30">
        <f>(M9*N9)+(M9*0.07*20.84)</f>
        <v>3063.5468800000003</v>
      </c>
      <c r="P9" s="7">
        <f t="shared" si="0"/>
        <v>5092.700356923077</v>
      </c>
      <c r="Q9" s="7">
        <v>0</v>
      </c>
      <c r="R9" s="7"/>
      <c r="S9" s="7">
        <f t="shared" si="1"/>
        <v>5092.700356923077</v>
      </c>
    </row>
    <row r="10" spans="1:19" ht="15">
      <c r="A10" s="56" t="s">
        <v>30</v>
      </c>
      <c r="B10" s="56"/>
      <c r="C10" s="11"/>
      <c r="D10" s="12"/>
      <c r="E10" s="12"/>
      <c r="F10" s="12"/>
      <c r="G10" s="13">
        <f>SUM(G6:G9)</f>
        <v>6.184615384615385</v>
      </c>
      <c r="H10" s="13">
        <f>SUM(H6:H9)</f>
        <v>12.651162790697676</v>
      </c>
      <c r="I10" s="13"/>
      <c r="J10" s="13">
        <f>SUM(J6:J9)</f>
        <v>5574.763620751342</v>
      </c>
      <c r="K10" s="13">
        <f>SUM(K6:K9)</f>
        <v>1533.059995706619</v>
      </c>
      <c r="L10" s="13"/>
      <c r="M10" s="31">
        <f>SUM(M6:M9)</f>
        <v>343.6</v>
      </c>
      <c r="N10" s="31"/>
      <c r="O10" s="32">
        <f>O6+O7+O9</f>
        <v>4938.96568</v>
      </c>
      <c r="P10" s="13">
        <f>SUM(P6:P9)</f>
        <v>12046.789296457962</v>
      </c>
      <c r="Q10" s="7">
        <v>0</v>
      </c>
      <c r="R10" s="7"/>
      <c r="S10" s="40">
        <f t="shared" si="1"/>
        <v>12046.789296457962</v>
      </c>
    </row>
    <row r="11" spans="1:19" ht="17.25" customHeight="1">
      <c r="A11" s="3">
        <v>1</v>
      </c>
      <c r="B11" s="4" t="s">
        <v>31</v>
      </c>
      <c r="C11" s="5" t="s">
        <v>32</v>
      </c>
      <c r="D11" s="14">
        <f>5.714*$D$8</f>
        <v>62.16832000000001</v>
      </c>
      <c r="E11" s="6"/>
      <c r="F11" s="6" t="s">
        <v>28</v>
      </c>
      <c r="G11" s="6"/>
      <c r="H11" s="7">
        <f>D11/24.3</f>
        <v>2.558367078189301</v>
      </c>
      <c r="I11" s="7">
        <v>142</v>
      </c>
      <c r="J11" s="7">
        <f>H11*I11*2</f>
        <v>726.5762502057614</v>
      </c>
      <c r="K11" s="7">
        <f aca="true" t="shared" si="2" ref="K11:K18">J11*0.275</f>
        <v>199.80846880658441</v>
      </c>
      <c r="L11" s="7"/>
      <c r="M11" s="29"/>
      <c r="N11" s="29"/>
      <c r="O11" s="30"/>
      <c r="P11" s="7">
        <f t="shared" si="0"/>
        <v>926.3847190123458</v>
      </c>
      <c r="Q11" s="7">
        <v>0</v>
      </c>
      <c r="R11" s="7"/>
      <c r="S11" s="7">
        <f t="shared" si="1"/>
        <v>926.3847190123458</v>
      </c>
    </row>
    <row r="12" spans="1:19" ht="18" customHeight="1">
      <c r="A12" s="15">
        <v>2</v>
      </c>
      <c r="B12" s="4" t="s">
        <v>33</v>
      </c>
      <c r="C12" s="5" t="s">
        <v>32</v>
      </c>
      <c r="D12" s="14">
        <f>5.714*$D$8</f>
        <v>62.16832000000001</v>
      </c>
      <c r="E12" s="6" t="s">
        <v>24</v>
      </c>
      <c r="F12" s="6"/>
      <c r="G12" s="7">
        <v>1</v>
      </c>
      <c r="H12" s="16"/>
      <c r="I12" s="7">
        <v>182.64</v>
      </c>
      <c r="J12" s="7">
        <f>G12*I12*2</f>
        <v>365.28</v>
      </c>
      <c r="K12" s="7">
        <f t="shared" si="2"/>
        <v>100.452</v>
      </c>
      <c r="L12" s="7" t="s">
        <v>25</v>
      </c>
      <c r="M12" s="29">
        <v>50</v>
      </c>
      <c r="N12" s="29">
        <v>14.61</v>
      </c>
      <c r="O12" s="30">
        <f>(M12*N12)+(M12*0.07*20.84)</f>
        <v>803.44</v>
      </c>
      <c r="P12" s="7">
        <f t="shared" si="0"/>
        <v>1269.172</v>
      </c>
      <c r="Q12" s="7">
        <v>0</v>
      </c>
      <c r="R12" s="7"/>
      <c r="S12" s="7">
        <f t="shared" si="1"/>
        <v>1269.172</v>
      </c>
    </row>
    <row r="13" spans="1:19" ht="12.75" customHeight="1">
      <c r="A13" s="3">
        <v>3</v>
      </c>
      <c r="B13" s="4" t="s">
        <v>34</v>
      </c>
      <c r="C13" s="5" t="s">
        <v>32</v>
      </c>
      <c r="D13" s="14">
        <f>5.714*$D$8</f>
        <v>62.16832000000001</v>
      </c>
      <c r="E13" s="6"/>
      <c r="F13" s="6" t="s">
        <v>28</v>
      </c>
      <c r="G13" s="6"/>
      <c r="H13" s="7">
        <f>D13/74</f>
        <v>0.8401124324324325</v>
      </c>
      <c r="I13" s="7">
        <v>142</v>
      </c>
      <c r="J13" s="7">
        <f>H13*I13*2</f>
        <v>238.59193081081082</v>
      </c>
      <c r="K13" s="7">
        <f t="shared" si="2"/>
        <v>65.61278097297298</v>
      </c>
      <c r="L13" s="7"/>
      <c r="M13" s="29"/>
      <c r="N13" s="29"/>
      <c r="O13" s="30"/>
      <c r="P13" s="7">
        <f t="shared" si="0"/>
        <v>304.2047117837838</v>
      </c>
      <c r="Q13" s="7">
        <v>0</v>
      </c>
      <c r="R13" s="7"/>
      <c r="S13" s="7">
        <f t="shared" si="1"/>
        <v>304.2047117837838</v>
      </c>
    </row>
    <row r="14" spans="1:19" ht="15" customHeight="1">
      <c r="A14" s="3">
        <v>4</v>
      </c>
      <c r="B14" s="4" t="s">
        <v>35</v>
      </c>
      <c r="C14" s="5" t="s">
        <v>32</v>
      </c>
      <c r="D14" s="14">
        <f>5.714*$D$8</f>
        <v>62.16832000000001</v>
      </c>
      <c r="E14" s="6"/>
      <c r="F14" s="6" t="s">
        <v>28</v>
      </c>
      <c r="G14" s="6"/>
      <c r="H14" s="7">
        <f>D14/45.8</f>
        <v>1.3573868995633191</v>
      </c>
      <c r="I14" s="7">
        <v>1118.32</v>
      </c>
      <c r="J14" s="7">
        <f>H14*I14*2</f>
        <v>3035.985835039302</v>
      </c>
      <c r="K14" s="7">
        <f t="shared" si="2"/>
        <v>834.8961046358081</v>
      </c>
      <c r="L14" s="7"/>
      <c r="M14" s="29"/>
      <c r="N14" s="29"/>
      <c r="O14" s="30"/>
      <c r="P14" s="7">
        <f t="shared" si="0"/>
        <v>3870.88193967511</v>
      </c>
      <c r="Q14" s="7">
        <v>0</v>
      </c>
      <c r="R14" s="7"/>
      <c r="S14" s="7">
        <f t="shared" si="1"/>
        <v>3870.88193967511</v>
      </c>
    </row>
    <row r="15" spans="1:19" ht="22.5" customHeight="1">
      <c r="A15" s="3">
        <v>5</v>
      </c>
      <c r="B15" s="4" t="s">
        <v>36</v>
      </c>
      <c r="C15" s="5" t="s">
        <v>32</v>
      </c>
      <c r="D15" s="14">
        <f>5.714*$D$8</f>
        <v>62.16832000000001</v>
      </c>
      <c r="E15" s="6"/>
      <c r="F15" s="6" t="s">
        <v>28</v>
      </c>
      <c r="G15" s="6"/>
      <c r="H15" s="7">
        <f>D15/34</f>
        <v>1.8284800000000003</v>
      </c>
      <c r="I15" s="7">
        <v>130.16</v>
      </c>
      <c r="J15" s="7">
        <f>H15*I15*2</f>
        <v>475.9899136000001</v>
      </c>
      <c r="K15" s="7">
        <f t="shared" si="2"/>
        <v>130.89722624000004</v>
      </c>
      <c r="L15" s="7"/>
      <c r="M15" s="29"/>
      <c r="N15" s="29"/>
      <c r="O15" s="30"/>
      <c r="P15" s="7">
        <f t="shared" si="0"/>
        <v>606.8871398400001</v>
      </c>
      <c r="Q15" s="7">
        <v>0</v>
      </c>
      <c r="R15" s="7"/>
      <c r="S15" s="7">
        <f t="shared" si="1"/>
        <v>606.8871398400001</v>
      </c>
    </row>
    <row r="16" spans="1:19" ht="23.25" customHeight="1">
      <c r="A16" s="3">
        <v>6</v>
      </c>
      <c r="B16" s="4" t="s">
        <v>37</v>
      </c>
      <c r="C16" s="5" t="s">
        <v>19</v>
      </c>
      <c r="D16" s="6"/>
      <c r="E16" s="6" t="s">
        <v>24</v>
      </c>
      <c r="F16" s="6"/>
      <c r="G16" s="17">
        <f>ROUNDUP(H17/20,0)</f>
        <v>5</v>
      </c>
      <c r="H16" s="8"/>
      <c r="I16" s="7">
        <v>182.64</v>
      </c>
      <c r="J16" s="7">
        <f>G16*I16*2</f>
        <v>1826.3999999999999</v>
      </c>
      <c r="K16" s="7">
        <f t="shared" si="2"/>
        <v>502.26</v>
      </c>
      <c r="L16" s="7" t="s">
        <v>25</v>
      </c>
      <c r="M16" s="29">
        <f>170*G16*0.3</f>
        <v>255</v>
      </c>
      <c r="N16" s="29">
        <v>14.61</v>
      </c>
      <c r="O16" s="30">
        <f>(M16*N16)+(M16*0.07*20.84)</f>
        <v>4097.544</v>
      </c>
      <c r="P16" s="7">
        <f t="shared" si="0"/>
        <v>6426.204</v>
      </c>
      <c r="Q16" s="7">
        <v>0</v>
      </c>
      <c r="R16" s="7"/>
      <c r="S16" s="7">
        <f t="shared" si="1"/>
        <v>6426.204</v>
      </c>
    </row>
    <row r="17" spans="1:19" ht="24" customHeight="1">
      <c r="A17" s="15">
        <v>7</v>
      </c>
      <c r="B17" s="4" t="s">
        <v>38</v>
      </c>
      <c r="C17" s="5" t="s">
        <v>39</v>
      </c>
      <c r="D17" s="17">
        <f>5.714*$D$8*1000</f>
        <v>62168.32000000001</v>
      </c>
      <c r="E17" s="6"/>
      <c r="F17" s="6" t="s">
        <v>40</v>
      </c>
      <c r="G17" s="6"/>
      <c r="H17" s="7">
        <f>D17/648</f>
        <v>95.93876543209878</v>
      </c>
      <c r="I17" s="7">
        <v>159.76</v>
      </c>
      <c r="J17" s="7">
        <f>H17*I17*2</f>
        <v>30654.3543308642</v>
      </c>
      <c r="K17" s="7">
        <f t="shared" si="2"/>
        <v>8429.947440987657</v>
      </c>
      <c r="L17" s="7"/>
      <c r="M17" s="29">
        <v>62168</v>
      </c>
      <c r="N17" s="29">
        <v>1.73</v>
      </c>
      <c r="O17" s="30">
        <f>M17*N17</f>
        <v>107550.64</v>
      </c>
      <c r="P17" s="7">
        <f t="shared" si="0"/>
        <v>146634.94177185185</v>
      </c>
      <c r="Q17" s="7">
        <v>0</v>
      </c>
      <c r="R17" s="7"/>
      <c r="S17" s="7">
        <f t="shared" si="1"/>
        <v>146634.94177185185</v>
      </c>
    </row>
    <row r="18" spans="1:19" ht="12.75" customHeight="1">
      <c r="A18" s="15">
        <v>8</v>
      </c>
      <c r="B18" s="4" t="s">
        <v>49</v>
      </c>
      <c r="C18" s="5" t="s">
        <v>39</v>
      </c>
      <c r="D18" s="14">
        <v>4</v>
      </c>
      <c r="E18" s="6"/>
      <c r="F18" s="6"/>
      <c r="G18" s="6"/>
      <c r="H18" s="7">
        <v>0.55</v>
      </c>
      <c r="I18" s="7">
        <v>135.53</v>
      </c>
      <c r="J18" s="7">
        <f>I18*H18*2</f>
        <v>149.08300000000003</v>
      </c>
      <c r="K18" s="7">
        <f t="shared" si="2"/>
        <v>40.99782500000001</v>
      </c>
      <c r="L18" s="7"/>
      <c r="M18" s="29">
        <v>4</v>
      </c>
      <c r="N18" s="29">
        <v>43.08</v>
      </c>
      <c r="O18" s="30">
        <f>M18*N18</f>
        <v>172.32</v>
      </c>
      <c r="P18" s="7">
        <f t="shared" si="0"/>
        <v>362.40082500000005</v>
      </c>
      <c r="Q18" s="7">
        <v>0</v>
      </c>
      <c r="R18" s="7"/>
      <c r="S18" s="7">
        <f t="shared" si="1"/>
        <v>362.40082500000005</v>
      </c>
    </row>
    <row r="19" spans="1:19" ht="15">
      <c r="A19" s="56" t="s">
        <v>41</v>
      </c>
      <c r="B19" s="56"/>
      <c r="C19" s="11"/>
      <c r="D19" s="12"/>
      <c r="E19" s="12"/>
      <c r="F19" s="12"/>
      <c r="G19" s="12">
        <f>SUM(G11:G18)</f>
        <v>6</v>
      </c>
      <c r="H19" s="13">
        <f>SUM(H11:H18)</f>
        <v>103.07311184228382</v>
      </c>
      <c r="I19" s="13"/>
      <c r="J19" s="13">
        <f>SUM(J11:J18)</f>
        <v>37472.26126052007</v>
      </c>
      <c r="K19" s="13">
        <f>SUM(K11:K18)</f>
        <v>10304.871846643022</v>
      </c>
      <c r="L19" s="13"/>
      <c r="M19" s="31">
        <f>SUM(M11:M17)</f>
        <v>62473</v>
      </c>
      <c r="N19" s="31"/>
      <c r="O19" s="32">
        <f>O12+O16+O17+O18</f>
        <v>112623.944</v>
      </c>
      <c r="P19" s="13">
        <f>SUM(P11:P18)</f>
        <v>160401.0771071631</v>
      </c>
      <c r="Q19" s="7">
        <v>0</v>
      </c>
      <c r="R19" s="7"/>
      <c r="S19" s="40">
        <f t="shared" si="1"/>
        <v>160401.0771071631</v>
      </c>
    </row>
    <row r="20" spans="1:19" ht="22.5">
      <c r="A20" s="18"/>
      <c r="B20" s="19" t="s">
        <v>59</v>
      </c>
      <c r="C20" s="20" t="s">
        <v>19</v>
      </c>
      <c r="D20" s="23"/>
      <c r="E20" s="23"/>
      <c r="F20" s="23"/>
      <c r="G20" s="23">
        <v>17</v>
      </c>
      <c r="H20" s="24"/>
      <c r="I20" s="24">
        <v>182.64</v>
      </c>
      <c r="J20" s="24">
        <f>I20*G20*2</f>
        <v>6209.759999999999</v>
      </c>
      <c r="K20" s="24">
        <f>J20*0.275</f>
        <v>1707.684</v>
      </c>
      <c r="L20" s="24" t="s">
        <v>25</v>
      </c>
      <c r="M20" s="33">
        <v>867</v>
      </c>
      <c r="N20" s="33">
        <v>14.61</v>
      </c>
      <c r="O20" s="30">
        <f>(M20*N20)+(M20*0.07*20.84)</f>
        <v>13931.649599999999</v>
      </c>
      <c r="P20" s="7">
        <f t="shared" si="0"/>
        <v>21849.0936</v>
      </c>
      <c r="Q20" s="7">
        <v>0</v>
      </c>
      <c r="R20" s="7"/>
      <c r="S20" s="7">
        <f t="shared" si="1"/>
        <v>21849.0936</v>
      </c>
    </row>
    <row r="21" spans="1:19" ht="15">
      <c r="A21" s="18"/>
      <c r="B21" s="21" t="s">
        <v>52</v>
      </c>
      <c r="C21" s="20" t="s">
        <v>53</v>
      </c>
      <c r="D21" s="23">
        <f>2000*10.88*6</f>
        <v>130560</v>
      </c>
      <c r="E21" s="23"/>
      <c r="F21" s="23" t="s">
        <v>28</v>
      </c>
      <c r="G21" s="23"/>
      <c r="H21" s="24">
        <f>D21/400</f>
        <v>326.4</v>
      </c>
      <c r="I21" s="24">
        <v>130.16</v>
      </c>
      <c r="J21" s="24">
        <f>I21*H21*2</f>
        <v>84968.44799999999</v>
      </c>
      <c r="K21" s="24">
        <f>J21*0.275</f>
        <v>23366.3232</v>
      </c>
      <c r="L21" s="24"/>
      <c r="M21" s="33"/>
      <c r="N21" s="33"/>
      <c r="O21" s="34"/>
      <c r="P21" s="7">
        <f t="shared" si="0"/>
        <v>108334.77119999999</v>
      </c>
      <c r="Q21" s="7">
        <v>0</v>
      </c>
      <c r="R21" s="7"/>
      <c r="S21" s="7">
        <f t="shared" si="1"/>
        <v>108334.77119999999</v>
      </c>
    </row>
    <row r="22" spans="1:19" ht="15">
      <c r="A22" s="18"/>
      <c r="B22" s="21" t="s">
        <v>54</v>
      </c>
      <c r="C22" s="20" t="s">
        <v>27</v>
      </c>
      <c r="D22" s="24">
        <f>0.28*10.88*2</f>
        <v>6.092800000000001</v>
      </c>
      <c r="E22" s="23"/>
      <c r="F22" s="23" t="s">
        <v>28</v>
      </c>
      <c r="G22" s="23"/>
      <c r="H22" s="24">
        <f>D22/0.5</f>
        <v>12.185600000000003</v>
      </c>
      <c r="I22" s="24">
        <v>142</v>
      </c>
      <c r="J22" s="24">
        <f>I22*H22*2</f>
        <v>3460.710400000001</v>
      </c>
      <c r="K22" s="24">
        <f>J22*0.275</f>
        <v>951.6953600000003</v>
      </c>
      <c r="L22" s="24"/>
      <c r="M22" s="33"/>
      <c r="N22" s="33"/>
      <c r="O22" s="34"/>
      <c r="P22" s="7">
        <f t="shared" si="0"/>
        <v>4412.4057600000015</v>
      </c>
      <c r="Q22" s="7">
        <v>0</v>
      </c>
      <c r="R22" s="7"/>
      <c r="S22" s="7">
        <f t="shared" si="1"/>
        <v>4412.4057600000015</v>
      </c>
    </row>
    <row r="23" spans="1:19" ht="15">
      <c r="A23" s="18"/>
      <c r="B23" s="22" t="s">
        <v>55</v>
      </c>
      <c r="C23" s="12"/>
      <c r="D23" s="12"/>
      <c r="E23" s="12"/>
      <c r="F23" s="12"/>
      <c r="G23" s="12">
        <f>SUM(G20:G22)</f>
        <v>17</v>
      </c>
      <c r="H23" s="13">
        <f>SUM(H20:H22)</f>
        <v>338.5856</v>
      </c>
      <c r="I23" s="13"/>
      <c r="J23" s="13">
        <f>SUM(J20:J22)</f>
        <v>94638.91839999998</v>
      </c>
      <c r="K23" s="13">
        <f>SUM(K20:K22)</f>
        <v>26025.70256</v>
      </c>
      <c r="L23" s="13"/>
      <c r="M23" s="31"/>
      <c r="N23" s="31"/>
      <c r="O23" s="32">
        <f>O20+O21+O22</f>
        <v>13931.649599999999</v>
      </c>
      <c r="P23" s="13">
        <f>SUM(P20:P22)</f>
        <v>134596.27055999998</v>
      </c>
      <c r="Q23" s="7">
        <v>0</v>
      </c>
      <c r="R23" s="7"/>
      <c r="S23" s="40">
        <f t="shared" si="1"/>
        <v>134596.27055999998</v>
      </c>
    </row>
    <row r="24" spans="1:19" ht="22.5">
      <c r="A24" s="18"/>
      <c r="B24" s="19" t="s">
        <v>60</v>
      </c>
      <c r="C24" s="20" t="s">
        <v>19</v>
      </c>
      <c r="D24" s="23"/>
      <c r="E24" s="23"/>
      <c r="F24" s="23"/>
      <c r="G24" s="23">
        <v>1</v>
      </c>
      <c r="H24" s="24"/>
      <c r="I24" s="24">
        <v>182.64</v>
      </c>
      <c r="J24" s="24">
        <f>I24*G24*2</f>
        <v>365.28</v>
      </c>
      <c r="K24" s="24">
        <f>J24*0.275</f>
        <v>100.452</v>
      </c>
      <c r="L24" s="24" t="s">
        <v>25</v>
      </c>
      <c r="M24" s="33">
        <v>51</v>
      </c>
      <c r="N24" s="33">
        <v>14.61</v>
      </c>
      <c r="O24" s="30">
        <f>(M24*N24)+(M24*0.07*20.84)</f>
        <v>819.5088000000001</v>
      </c>
      <c r="P24" s="7">
        <f t="shared" si="0"/>
        <v>1285.2408</v>
      </c>
      <c r="Q24" s="7">
        <v>0</v>
      </c>
      <c r="R24" s="7"/>
      <c r="S24" s="7">
        <f t="shared" si="1"/>
        <v>1285.2408</v>
      </c>
    </row>
    <row r="25" spans="1:19" ht="15">
      <c r="A25" s="18"/>
      <c r="B25" s="21" t="s">
        <v>56</v>
      </c>
      <c r="C25" s="20" t="s">
        <v>57</v>
      </c>
      <c r="D25" s="38">
        <f>62168*0.2</f>
        <v>12433.6</v>
      </c>
      <c r="E25" s="23"/>
      <c r="F25" s="23" t="s">
        <v>28</v>
      </c>
      <c r="G25" s="23"/>
      <c r="H25" s="24">
        <f>D25/637</f>
        <v>19.518995290423863</v>
      </c>
      <c r="I25" s="24">
        <v>159.76</v>
      </c>
      <c r="J25" s="24">
        <f>I25*H25*2</f>
        <v>6236.709375196232</v>
      </c>
      <c r="K25" s="24">
        <f>J25*0.275</f>
        <v>1715.095078178964</v>
      </c>
      <c r="L25" s="24"/>
      <c r="M25" s="33">
        <v>12434</v>
      </c>
      <c r="N25" s="33">
        <v>1.73</v>
      </c>
      <c r="O25" s="34">
        <f>M25*N25</f>
        <v>21510.82</v>
      </c>
      <c r="P25" s="7">
        <f t="shared" si="0"/>
        <v>29462.624453375196</v>
      </c>
      <c r="Q25" s="7">
        <v>0</v>
      </c>
      <c r="R25" s="7"/>
      <c r="S25" s="7">
        <f t="shared" si="1"/>
        <v>29462.624453375196</v>
      </c>
    </row>
    <row r="26" spans="1:19" ht="15">
      <c r="A26" s="26"/>
      <c r="B26" s="27" t="s">
        <v>58</v>
      </c>
      <c r="C26" s="26"/>
      <c r="D26" s="26"/>
      <c r="E26" s="26"/>
      <c r="F26" s="26"/>
      <c r="G26" s="26">
        <f>SUM(G24:G25)</f>
        <v>1</v>
      </c>
      <c r="H26" s="28">
        <f>SUM(H23:H25)</f>
        <v>358.10459529042384</v>
      </c>
      <c r="I26" s="28"/>
      <c r="J26" s="28">
        <f>SUM(J24:J25)</f>
        <v>6601.989375196232</v>
      </c>
      <c r="K26" s="28">
        <f>SUM(K24:K25)</f>
        <v>1815.547078178964</v>
      </c>
      <c r="L26" s="28"/>
      <c r="M26" s="35"/>
      <c r="N26" s="35"/>
      <c r="O26" s="36">
        <f>O24+O25</f>
        <v>22330.3288</v>
      </c>
      <c r="P26" s="28">
        <f>SUM(P24:P25)</f>
        <v>30747.865253375196</v>
      </c>
      <c r="Q26" s="7">
        <v>0</v>
      </c>
      <c r="R26" s="7"/>
      <c r="S26" s="40">
        <f t="shared" si="1"/>
        <v>30747.865253375196</v>
      </c>
    </row>
    <row r="27" spans="1:19" s="25" customFormat="1" ht="15">
      <c r="A27" s="18"/>
      <c r="B27" s="37" t="s">
        <v>63</v>
      </c>
      <c r="C27" s="18"/>
      <c r="D27" s="18"/>
      <c r="E27" s="18"/>
      <c r="F27" s="18"/>
      <c r="G27" s="39">
        <f>G10+G19+G23+G26</f>
        <v>30.184615384615384</v>
      </c>
      <c r="H27" s="39">
        <f>H10+H19+H23+H26</f>
        <v>812.4144699234054</v>
      </c>
      <c r="I27" s="18"/>
      <c r="J27" s="39">
        <f>J10+J19+J23+J26</f>
        <v>144287.9326564676</v>
      </c>
      <c r="K27" s="39">
        <f>K10+K19+K23+K26</f>
        <v>39679.181480528605</v>
      </c>
      <c r="L27" s="18"/>
      <c r="M27" s="18"/>
      <c r="N27" s="18"/>
      <c r="O27" s="39">
        <f>O10+O19+O23+O26</f>
        <v>153824.88807999998</v>
      </c>
      <c r="P27" s="39">
        <f>P10+P19+P23+P26</f>
        <v>337792.0022169962</v>
      </c>
      <c r="Q27" s="7">
        <v>0</v>
      </c>
      <c r="R27" s="40">
        <f>D9*577</f>
        <v>6277.76</v>
      </c>
      <c r="S27" s="40">
        <f>P27+Q27+R27</f>
        <v>344069.7622169962</v>
      </c>
    </row>
    <row r="28" spans="1:19" s="25" customFormat="1" ht="15">
      <c r="A28" s="54" t="s">
        <v>64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  <c r="R28" s="55"/>
      <c r="S28" s="55"/>
    </row>
    <row r="29" spans="1:19" ht="15" customHeight="1">
      <c r="A29" s="3">
        <v>1</v>
      </c>
      <c r="B29" s="4" t="s">
        <v>22</v>
      </c>
      <c r="C29" s="5" t="s">
        <v>42</v>
      </c>
      <c r="D29" s="6"/>
      <c r="E29" s="6"/>
      <c r="F29" s="6"/>
      <c r="G29" s="6"/>
      <c r="H29" s="7"/>
      <c r="I29" s="7"/>
      <c r="J29" s="7"/>
      <c r="K29" s="7"/>
      <c r="L29" s="7"/>
      <c r="M29" s="6">
        <f>M6+M9</f>
        <v>292.6</v>
      </c>
      <c r="N29" s="6">
        <v>12.62</v>
      </c>
      <c r="O29" s="7">
        <f>M29*N29</f>
        <v>3692.612</v>
      </c>
      <c r="P29" s="7">
        <f>O29</f>
        <v>3692.612</v>
      </c>
      <c r="Q29" s="7">
        <v>0</v>
      </c>
      <c r="R29" s="7"/>
      <c r="S29" s="7">
        <f aca="true" t="shared" si="3" ref="S29:S34">P29+Q29</f>
        <v>3692.612</v>
      </c>
    </row>
    <row r="30" spans="1:19" ht="15" customHeight="1">
      <c r="A30" s="3">
        <v>2</v>
      </c>
      <c r="B30" s="4" t="s">
        <v>25</v>
      </c>
      <c r="C30" s="5" t="s">
        <v>42</v>
      </c>
      <c r="D30" s="6"/>
      <c r="E30" s="6"/>
      <c r="F30" s="6"/>
      <c r="G30" s="6"/>
      <c r="H30" s="7"/>
      <c r="I30" s="7"/>
      <c r="J30" s="7"/>
      <c r="K30" s="7"/>
      <c r="L30" s="7"/>
      <c r="M30" s="6">
        <v>1274</v>
      </c>
      <c r="N30" s="6">
        <v>14.61</v>
      </c>
      <c r="O30" s="7">
        <f>M30*N30</f>
        <v>18613.14</v>
      </c>
      <c r="P30" s="7">
        <f>O30</f>
        <v>18613.14</v>
      </c>
      <c r="Q30" s="7">
        <v>0</v>
      </c>
      <c r="R30" s="7"/>
      <c r="S30" s="7">
        <f t="shared" si="3"/>
        <v>18613.14</v>
      </c>
    </row>
    <row r="31" spans="1:20" ht="15" customHeight="1">
      <c r="A31" s="3">
        <v>3</v>
      </c>
      <c r="B31" s="4" t="s">
        <v>43</v>
      </c>
      <c r="C31" s="5" t="s">
        <v>42</v>
      </c>
      <c r="D31" s="6"/>
      <c r="E31" s="6"/>
      <c r="F31" s="6"/>
      <c r="G31" s="6"/>
      <c r="H31" s="7"/>
      <c r="I31" s="7"/>
      <c r="J31" s="7"/>
      <c r="K31" s="7"/>
      <c r="L31" s="7"/>
      <c r="M31" s="6">
        <f>SUM(M29:M30)*0.07</f>
        <v>109.662</v>
      </c>
      <c r="N31" s="6">
        <v>20.84</v>
      </c>
      <c r="O31" s="7">
        <f>M31*N31</f>
        <v>2285.35608</v>
      </c>
      <c r="P31" s="7">
        <f>O31</f>
        <v>2285.35608</v>
      </c>
      <c r="Q31" s="7">
        <v>0</v>
      </c>
      <c r="R31" s="7"/>
      <c r="S31" s="7">
        <f t="shared" si="3"/>
        <v>2285.35608</v>
      </c>
      <c r="T31" s="41"/>
    </row>
    <row r="32" spans="1:19" ht="15" customHeight="1">
      <c r="A32" s="3">
        <v>4</v>
      </c>
      <c r="B32" s="4" t="s">
        <v>44</v>
      </c>
      <c r="C32" s="5" t="s">
        <v>32</v>
      </c>
      <c r="D32" s="6"/>
      <c r="E32" s="6"/>
      <c r="F32" s="6"/>
      <c r="G32" s="6"/>
      <c r="H32" s="7"/>
      <c r="I32" s="7"/>
      <c r="J32" s="7"/>
      <c r="K32" s="7"/>
      <c r="L32" s="7"/>
      <c r="M32" s="14">
        <v>74.602</v>
      </c>
      <c r="N32" s="6">
        <v>1.73</v>
      </c>
      <c r="O32" s="7">
        <f>M32*N32*1000</f>
        <v>129061.46</v>
      </c>
      <c r="P32" s="7">
        <f>O32</f>
        <v>129061.46</v>
      </c>
      <c r="Q32" s="7">
        <v>0</v>
      </c>
      <c r="R32" s="7"/>
      <c r="S32" s="7">
        <f t="shared" si="3"/>
        <v>129061.46</v>
      </c>
    </row>
    <row r="33" spans="1:19" ht="15" customHeight="1">
      <c r="A33" s="3">
        <v>5</v>
      </c>
      <c r="B33" s="4" t="s">
        <v>50</v>
      </c>
      <c r="C33" s="5" t="s">
        <v>39</v>
      </c>
      <c r="D33" s="6"/>
      <c r="E33" s="6"/>
      <c r="F33" s="6"/>
      <c r="G33" s="6"/>
      <c r="H33" s="7"/>
      <c r="I33" s="7"/>
      <c r="J33" s="7"/>
      <c r="K33" s="7"/>
      <c r="L33" s="7"/>
      <c r="M33" s="14">
        <v>4</v>
      </c>
      <c r="N33" s="6">
        <v>43.08</v>
      </c>
      <c r="O33" s="7">
        <f>N33*M33</f>
        <v>172.32</v>
      </c>
      <c r="P33" s="7">
        <v>172.32</v>
      </c>
      <c r="Q33" s="7">
        <v>0</v>
      </c>
      <c r="R33" s="7"/>
      <c r="S33" s="7">
        <f t="shared" si="3"/>
        <v>172.32</v>
      </c>
    </row>
    <row r="34" spans="1:19" ht="15" customHeight="1">
      <c r="A34" s="56" t="s">
        <v>45</v>
      </c>
      <c r="B34" s="56"/>
      <c r="C34" s="11"/>
      <c r="D34" s="12"/>
      <c r="E34" s="12"/>
      <c r="F34" s="12"/>
      <c r="G34" s="12"/>
      <c r="H34" s="13"/>
      <c r="I34" s="13"/>
      <c r="J34" s="13"/>
      <c r="K34" s="13"/>
      <c r="L34" s="13"/>
      <c r="M34" s="12"/>
      <c r="N34" s="12"/>
      <c r="O34" s="13">
        <f>SUM(O29:O33)</f>
        <v>153824.88808</v>
      </c>
      <c r="P34" s="13">
        <f>SUM(P29:P33)</f>
        <v>153824.88808</v>
      </c>
      <c r="Q34" s="7">
        <v>0</v>
      </c>
      <c r="R34" s="7"/>
      <c r="S34" s="40">
        <f t="shared" si="3"/>
        <v>153824.88808</v>
      </c>
    </row>
    <row r="35" spans="1:19" ht="15" customHeight="1">
      <c r="A35" s="42"/>
      <c r="B35" s="42"/>
      <c r="C35" s="42"/>
      <c r="D35" s="42"/>
      <c r="E35" s="42"/>
      <c r="F35" s="42"/>
      <c r="G35" s="42"/>
      <c r="H35" s="43"/>
      <c r="I35" s="43"/>
      <c r="J35" s="43"/>
      <c r="K35" s="43"/>
      <c r="L35" s="43"/>
      <c r="M35" s="42"/>
      <c r="N35" s="42"/>
      <c r="O35" s="43"/>
      <c r="P35" s="43"/>
      <c r="Q35" s="44"/>
      <c r="R35" s="44"/>
      <c r="S35" s="44"/>
    </row>
    <row r="36" spans="1:12" ht="15">
      <c r="A36" s="1"/>
      <c r="B36" s="8" t="s">
        <v>46</v>
      </c>
      <c r="H36" t="s">
        <v>66</v>
      </c>
      <c r="L36" t="s">
        <v>67</v>
      </c>
    </row>
  </sheetData>
  <mergeCells count="20">
    <mergeCell ref="A28:S28"/>
    <mergeCell ref="A19:B19"/>
    <mergeCell ref="A34:B34"/>
    <mergeCell ref="I4:I5"/>
    <mergeCell ref="A10:B10"/>
    <mergeCell ref="R4:R5"/>
    <mergeCell ref="E4:F4"/>
    <mergeCell ref="G4:H4"/>
    <mergeCell ref="Q4:Q5"/>
    <mergeCell ref="S4:S5"/>
    <mergeCell ref="A1:P1"/>
    <mergeCell ref="A2:P2"/>
    <mergeCell ref="J4:J5"/>
    <mergeCell ref="K4:K5"/>
    <mergeCell ref="L4:O4"/>
    <mergeCell ref="P4:P5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2021-09-27T13:13:09Z</dcterms:modified>
  <cp:category/>
  <cp:version/>
  <cp:contentType/>
  <cp:contentStatus/>
</cp:coreProperties>
</file>