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Materiale de Sutură REPETAT\Demarare 18.12.2024\"/>
    </mc:Choice>
  </mc:AlternateContent>
  <xr:revisionPtr revIDLastSave="0" documentId="8_{2441463D-F53D-4505-B54C-A8E03E6CA9BE}" xr6:coauthVersionLast="47" xr6:coauthVersionMax="47" xr10:uidLastSave="{00000000-0000-0000-0000-000000000000}"/>
  <bookViews>
    <workbookView xWindow="-120" yWindow="-120" windowWidth="29040" windowHeight="15720" xr2:uid="{FF7CEFB5-65FF-405C-AC0C-FB44D77D4B25}"/>
  </bookViews>
  <sheets>
    <sheet name="REPETAT" sheetId="1" r:id="rId1"/>
  </sheets>
  <definedNames>
    <definedName name="_xlnm._FilterDatabase" localSheetId="0" hidden="1">REPETAT!$B$1:$BV$58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110" i="1" l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BP109" i="1"/>
  <c r="BQ109" i="1" s="1"/>
  <c r="BR109" i="1" s="1"/>
  <c r="BS109" i="1" s="1"/>
  <c r="BP108" i="1"/>
  <c r="BQ108" i="1" s="1"/>
  <c r="BR108" i="1" s="1"/>
  <c r="BS108" i="1" s="1"/>
  <c r="BP107" i="1"/>
  <c r="BQ107" i="1" s="1"/>
  <c r="BR107" i="1" s="1"/>
  <c r="BS107" i="1" s="1"/>
  <c r="BP106" i="1"/>
  <c r="BQ106" i="1" s="1"/>
  <c r="BR106" i="1" s="1"/>
  <c r="BS106" i="1" s="1"/>
  <c r="BP105" i="1"/>
  <c r="BQ105" i="1" s="1"/>
  <c r="BR105" i="1" s="1"/>
  <c r="BS105" i="1" s="1"/>
  <c r="BP104" i="1"/>
  <c r="BQ104" i="1" s="1"/>
  <c r="BR104" i="1" s="1"/>
  <c r="BS104" i="1" s="1"/>
  <c r="BP103" i="1"/>
  <c r="BQ103" i="1" s="1"/>
  <c r="BR103" i="1" s="1"/>
  <c r="BS103" i="1" s="1"/>
  <c r="BP102" i="1"/>
  <c r="BQ102" i="1" s="1"/>
  <c r="BR102" i="1" s="1"/>
  <c r="BS102" i="1" s="1"/>
  <c r="BP101" i="1"/>
  <c r="BQ101" i="1" s="1"/>
  <c r="BR101" i="1" s="1"/>
  <c r="BS101" i="1" s="1"/>
  <c r="BP100" i="1"/>
  <c r="BQ100" i="1" s="1"/>
  <c r="BR100" i="1" s="1"/>
  <c r="BS100" i="1" s="1"/>
  <c r="BP99" i="1"/>
  <c r="BQ99" i="1" s="1"/>
  <c r="BR99" i="1" s="1"/>
  <c r="BS99" i="1" s="1"/>
  <c r="BP98" i="1"/>
  <c r="BQ98" i="1" s="1"/>
  <c r="BR98" i="1" s="1"/>
  <c r="BS98" i="1" s="1"/>
  <c r="BP97" i="1"/>
  <c r="BQ97" i="1" s="1"/>
  <c r="BR97" i="1" s="1"/>
  <c r="BS97" i="1" s="1"/>
  <c r="BP96" i="1"/>
  <c r="BQ96" i="1" s="1"/>
  <c r="BR96" i="1" s="1"/>
  <c r="BS96" i="1" s="1"/>
  <c r="BP95" i="1"/>
  <c r="BQ95" i="1" s="1"/>
  <c r="BR95" i="1" s="1"/>
  <c r="BS95" i="1" s="1"/>
  <c r="BP94" i="1"/>
  <c r="BQ94" i="1" s="1"/>
  <c r="BR94" i="1" s="1"/>
  <c r="BS94" i="1" s="1"/>
  <c r="BP93" i="1"/>
  <c r="BQ93" i="1" s="1"/>
  <c r="BR93" i="1" s="1"/>
  <c r="BS93" i="1" s="1"/>
  <c r="BP92" i="1"/>
  <c r="BQ92" i="1" s="1"/>
  <c r="BR92" i="1" s="1"/>
  <c r="BS92" i="1" s="1"/>
  <c r="BP91" i="1"/>
  <c r="BQ91" i="1" s="1"/>
  <c r="BR91" i="1" s="1"/>
  <c r="BS91" i="1" s="1"/>
  <c r="BP90" i="1"/>
  <c r="BQ90" i="1" s="1"/>
  <c r="BR90" i="1" s="1"/>
  <c r="BS90" i="1" s="1"/>
  <c r="BP89" i="1"/>
  <c r="BQ89" i="1" s="1"/>
  <c r="BR89" i="1" s="1"/>
  <c r="BS89" i="1" s="1"/>
  <c r="BP88" i="1"/>
  <c r="BQ88" i="1" s="1"/>
  <c r="BR88" i="1" s="1"/>
  <c r="BS88" i="1" s="1"/>
  <c r="BP87" i="1"/>
  <c r="BQ87" i="1" s="1"/>
  <c r="BR87" i="1" s="1"/>
  <c r="BS87" i="1" s="1"/>
  <c r="BP86" i="1"/>
  <c r="BQ86" i="1" s="1"/>
  <c r="BR86" i="1" s="1"/>
  <c r="BS86" i="1" s="1"/>
  <c r="BP85" i="1"/>
  <c r="BQ85" i="1" s="1"/>
  <c r="BR85" i="1" s="1"/>
  <c r="BS85" i="1" s="1"/>
  <c r="BP84" i="1"/>
  <c r="BQ84" i="1" s="1"/>
  <c r="BR84" i="1" s="1"/>
  <c r="BS84" i="1" s="1"/>
  <c r="BP83" i="1"/>
  <c r="BQ83" i="1" s="1"/>
  <c r="BR83" i="1" s="1"/>
  <c r="BS83" i="1" s="1"/>
  <c r="BP82" i="1"/>
  <c r="BQ82" i="1" s="1"/>
  <c r="BR82" i="1" s="1"/>
  <c r="BS82" i="1" s="1"/>
  <c r="BP81" i="1"/>
  <c r="BQ81" i="1" s="1"/>
  <c r="BR81" i="1" s="1"/>
  <c r="BS81" i="1" s="1"/>
  <c r="BP80" i="1"/>
  <c r="BQ80" i="1" s="1"/>
  <c r="BR80" i="1" s="1"/>
  <c r="BS80" i="1" s="1"/>
  <c r="BP79" i="1"/>
  <c r="BQ79" i="1" s="1"/>
  <c r="BR79" i="1" s="1"/>
  <c r="BS79" i="1" s="1"/>
  <c r="BP78" i="1"/>
  <c r="BQ78" i="1" s="1"/>
  <c r="BR78" i="1" s="1"/>
  <c r="BS78" i="1" s="1"/>
  <c r="BP77" i="1"/>
  <c r="BQ77" i="1" s="1"/>
  <c r="BR77" i="1" s="1"/>
  <c r="BS77" i="1" s="1"/>
  <c r="BP76" i="1"/>
  <c r="BQ76" i="1" s="1"/>
  <c r="BR76" i="1" s="1"/>
  <c r="BS76" i="1" s="1"/>
  <c r="BP75" i="1"/>
  <c r="BQ75" i="1" s="1"/>
  <c r="BR75" i="1" s="1"/>
  <c r="BS75" i="1" s="1"/>
  <c r="BP74" i="1"/>
  <c r="BQ74" i="1" s="1"/>
  <c r="BR74" i="1" s="1"/>
  <c r="BS74" i="1" s="1"/>
  <c r="BP73" i="1"/>
  <c r="BQ73" i="1" s="1"/>
  <c r="BR73" i="1" s="1"/>
  <c r="BS73" i="1" s="1"/>
  <c r="BP72" i="1"/>
  <c r="BQ72" i="1" s="1"/>
  <c r="BR72" i="1" s="1"/>
  <c r="BS72" i="1" s="1"/>
  <c r="BP71" i="1"/>
  <c r="BQ71" i="1" s="1"/>
  <c r="BR71" i="1" s="1"/>
  <c r="BS71" i="1" s="1"/>
  <c r="BP70" i="1"/>
  <c r="BQ70" i="1" s="1"/>
  <c r="BR70" i="1" s="1"/>
  <c r="BS70" i="1" s="1"/>
  <c r="BP69" i="1"/>
  <c r="BQ69" i="1" s="1"/>
  <c r="BR69" i="1" s="1"/>
  <c r="BS69" i="1" s="1"/>
  <c r="BP68" i="1"/>
  <c r="BQ68" i="1" s="1"/>
  <c r="BR68" i="1" s="1"/>
  <c r="BS68" i="1" s="1"/>
  <c r="BP67" i="1"/>
  <c r="BQ67" i="1" s="1"/>
  <c r="BR67" i="1" s="1"/>
  <c r="BS67" i="1" s="1"/>
  <c r="BP66" i="1"/>
  <c r="BQ66" i="1" s="1"/>
  <c r="BR66" i="1" s="1"/>
  <c r="BS66" i="1" s="1"/>
  <c r="BP65" i="1"/>
  <c r="BQ65" i="1" s="1"/>
  <c r="BR65" i="1" s="1"/>
  <c r="BS65" i="1" s="1"/>
  <c r="BP64" i="1"/>
  <c r="BQ64" i="1" s="1"/>
  <c r="BR64" i="1" s="1"/>
  <c r="BS64" i="1" s="1"/>
  <c r="BP63" i="1"/>
  <c r="BQ63" i="1" s="1"/>
  <c r="BR63" i="1" s="1"/>
  <c r="BS63" i="1" s="1"/>
  <c r="BP62" i="1"/>
  <c r="BQ62" i="1" s="1"/>
  <c r="BR62" i="1" s="1"/>
  <c r="BS62" i="1" s="1"/>
  <c r="BP61" i="1"/>
  <c r="BQ61" i="1" s="1"/>
  <c r="BR61" i="1" s="1"/>
  <c r="BS61" i="1" s="1"/>
  <c r="BP60" i="1"/>
  <c r="BQ60" i="1" s="1"/>
  <c r="BR60" i="1" s="1"/>
  <c r="BS60" i="1" s="1"/>
  <c r="BP59" i="1"/>
  <c r="BQ59" i="1" s="1"/>
  <c r="BR59" i="1" s="1"/>
  <c r="BS59" i="1" s="1"/>
  <c r="BP58" i="1"/>
  <c r="BQ58" i="1" s="1"/>
  <c r="BR58" i="1" s="1"/>
  <c r="BS58" i="1" s="1"/>
  <c r="BP57" i="1"/>
  <c r="BQ57" i="1" s="1"/>
  <c r="BR57" i="1" s="1"/>
  <c r="BS57" i="1" s="1"/>
  <c r="BP56" i="1"/>
  <c r="BQ56" i="1" s="1"/>
  <c r="BR56" i="1" s="1"/>
  <c r="BS56" i="1" s="1"/>
  <c r="BP55" i="1"/>
  <c r="BQ55" i="1" s="1"/>
  <c r="BR55" i="1" s="1"/>
  <c r="BS55" i="1" s="1"/>
  <c r="BP54" i="1"/>
  <c r="BQ54" i="1" s="1"/>
  <c r="BR54" i="1" s="1"/>
  <c r="BS54" i="1" s="1"/>
  <c r="BP53" i="1"/>
  <c r="BQ53" i="1" s="1"/>
  <c r="BR53" i="1" s="1"/>
  <c r="BS53" i="1" s="1"/>
  <c r="BP52" i="1"/>
  <c r="BQ52" i="1" s="1"/>
  <c r="BR52" i="1" s="1"/>
  <c r="BS52" i="1" s="1"/>
  <c r="BP51" i="1"/>
  <c r="BQ51" i="1" s="1"/>
  <c r="BR51" i="1" s="1"/>
  <c r="BS51" i="1" s="1"/>
  <c r="BP50" i="1"/>
  <c r="BQ50" i="1" s="1"/>
  <c r="BR50" i="1" s="1"/>
  <c r="BS50" i="1" s="1"/>
  <c r="BP49" i="1"/>
  <c r="BQ49" i="1" s="1"/>
  <c r="BR49" i="1" s="1"/>
  <c r="BS49" i="1" s="1"/>
  <c r="BP48" i="1"/>
  <c r="BQ48" i="1" s="1"/>
  <c r="BR48" i="1" s="1"/>
  <c r="BS48" i="1" s="1"/>
  <c r="BP47" i="1"/>
  <c r="BQ47" i="1" s="1"/>
  <c r="BR47" i="1" s="1"/>
  <c r="BS47" i="1" s="1"/>
  <c r="BP46" i="1"/>
  <c r="BQ46" i="1" s="1"/>
  <c r="BR46" i="1" s="1"/>
  <c r="BS46" i="1" s="1"/>
  <c r="BP45" i="1"/>
  <c r="BQ45" i="1" s="1"/>
  <c r="BR45" i="1" s="1"/>
  <c r="BS45" i="1" s="1"/>
  <c r="BP44" i="1"/>
  <c r="BQ44" i="1" s="1"/>
  <c r="BR44" i="1" s="1"/>
  <c r="BS44" i="1" s="1"/>
  <c r="BP43" i="1"/>
  <c r="BQ43" i="1" s="1"/>
  <c r="BR43" i="1" s="1"/>
  <c r="BS43" i="1" s="1"/>
  <c r="BP42" i="1"/>
  <c r="BQ42" i="1" s="1"/>
  <c r="BR42" i="1" s="1"/>
  <c r="BS42" i="1" s="1"/>
  <c r="BP41" i="1"/>
  <c r="BQ41" i="1" s="1"/>
  <c r="BR41" i="1" s="1"/>
  <c r="BS41" i="1" s="1"/>
  <c r="BP40" i="1"/>
  <c r="BQ40" i="1" s="1"/>
  <c r="BR40" i="1" s="1"/>
  <c r="BS40" i="1" s="1"/>
  <c r="BP39" i="1"/>
  <c r="BQ39" i="1" s="1"/>
  <c r="BR39" i="1" s="1"/>
  <c r="BS39" i="1" s="1"/>
  <c r="BP38" i="1"/>
  <c r="BQ38" i="1" s="1"/>
  <c r="BR38" i="1" s="1"/>
  <c r="BS38" i="1" s="1"/>
  <c r="BP37" i="1"/>
  <c r="BQ37" i="1" s="1"/>
  <c r="BR37" i="1" s="1"/>
  <c r="BS37" i="1" s="1"/>
  <c r="BP36" i="1"/>
  <c r="BQ36" i="1" s="1"/>
  <c r="BR36" i="1" s="1"/>
  <c r="BS36" i="1" s="1"/>
  <c r="BP35" i="1"/>
  <c r="BQ35" i="1" s="1"/>
  <c r="BR35" i="1" s="1"/>
  <c r="BS35" i="1" s="1"/>
  <c r="BP34" i="1"/>
  <c r="BQ34" i="1" s="1"/>
  <c r="BR34" i="1" s="1"/>
  <c r="BS34" i="1" s="1"/>
  <c r="BP33" i="1"/>
  <c r="BQ33" i="1" s="1"/>
  <c r="BR33" i="1" s="1"/>
  <c r="BS33" i="1" s="1"/>
  <c r="BP32" i="1"/>
  <c r="BQ32" i="1" s="1"/>
  <c r="BR32" i="1" s="1"/>
  <c r="BS32" i="1" s="1"/>
  <c r="BP31" i="1"/>
  <c r="BQ31" i="1" s="1"/>
  <c r="BR31" i="1" s="1"/>
  <c r="BS31" i="1" s="1"/>
  <c r="BP30" i="1"/>
  <c r="BQ30" i="1" s="1"/>
  <c r="BR30" i="1" s="1"/>
  <c r="BS30" i="1" s="1"/>
  <c r="BP29" i="1"/>
  <c r="BQ29" i="1" s="1"/>
  <c r="BR29" i="1" s="1"/>
  <c r="BS29" i="1" s="1"/>
  <c r="BP28" i="1"/>
  <c r="BQ28" i="1" s="1"/>
  <c r="BR28" i="1" s="1"/>
  <c r="BS28" i="1" s="1"/>
  <c r="BP27" i="1"/>
  <c r="BQ27" i="1" s="1"/>
  <c r="BR27" i="1" s="1"/>
  <c r="BS27" i="1" s="1"/>
  <c r="BR26" i="1"/>
  <c r="BS26" i="1" s="1"/>
  <c r="BP26" i="1"/>
  <c r="BQ26" i="1" s="1"/>
  <c r="BP25" i="1"/>
  <c r="BQ25" i="1" s="1"/>
  <c r="BR25" i="1" s="1"/>
  <c r="BS25" i="1" s="1"/>
  <c r="BR24" i="1"/>
  <c r="BS24" i="1" s="1"/>
  <c r="BP24" i="1"/>
  <c r="BQ24" i="1" s="1"/>
  <c r="BP23" i="1"/>
  <c r="BQ23" i="1" s="1"/>
  <c r="BR23" i="1" s="1"/>
  <c r="BS23" i="1" s="1"/>
  <c r="BP22" i="1"/>
  <c r="BQ22" i="1" s="1"/>
  <c r="BR22" i="1" s="1"/>
  <c r="BS22" i="1" s="1"/>
  <c r="BP21" i="1"/>
  <c r="BQ21" i="1" s="1"/>
  <c r="BR21" i="1" s="1"/>
  <c r="BS21" i="1" s="1"/>
  <c r="BP20" i="1"/>
  <c r="BQ20" i="1" s="1"/>
  <c r="BR20" i="1" s="1"/>
  <c r="BS20" i="1" s="1"/>
  <c r="BP19" i="1"/>
  <c r="BQ19" i="1" s="1"/>
  <c r="BR19" i="1" s="1"/>
  <c r="BS19" i="1" s="1"/>
  <c r="BP18" i="1"/>
  <c r="BQ18" i="1" s="1"/>
  <c r="BR18" i="1" s="1"/>
  <c r="BS18" i="1" s="1"/>
  <c r="BP17" i="1"/>
  <c r="BQ17" i="1" s="1"/>
  <c r="BR17" i="1" s="1"/>
  <c r="BS17" i="1" s="1"/>
  <c r="BR16" i="1"/>
  <c r="BS16" i="1" s="1"/>
  <c r="BP16" i="1"/>
  <c r="BQ16" i="1" s="1"/>
  <c r="BP15" i="1"/>
  <c r="BQ15" i="1" s="1"/>
  <c r="BR15" i="1" s="1"/>
  <c r="BS15" i="1" s="1"/>
  <c r="BP14" i="1"/>
  <c r="BQ14" i="1" s="1"/>
  <c r="BR14" i="1" s="1"/>
  <c r="BS14" i="1" s="1"/>
  <c r="BP13" i="1"/>
  <c r="BQ13" i="1" s="1"/>
  <c r="BR13" i="1" s="1"/>
  <c r="BS13" i="1" s="1"/>
  <c r="BP12" i="1"/>
  <c r="BQ12" i="1" s="1"/>
  <c r="BR12" i="1" s="1"/>
  <c r="BS12" i="1" s="1"/>
  <c r="BP11" i="1"/>
  <c r="BQ11" i="1" s="1"/>
  <c r="BR11" i="1" s="1"/>
  <c r="BS11" i="1" s="1"/>
  <c r="BP10" i="1"/>
  <c r="BQ10" i="1" s="1"/>
  <c r="BR10" i="1" s="1"/>
  <c r="BS10" i="1" s="1"/>
  <c r="BP9" i="1"/>
  <c r="BQ9" i="1" s="1"/>
  <c r="BR9" i="1" s="1"/>
  <c r="BS9" i="1" s="1"/>
  <c r="BR8" i="1"/>
  <c r="BS8" i="1" s="1"/>
  <c r="BP8" i="1"/>
  <c r="BQ8" i="1" s="1"/>
  <c r="BP7" i="1"/>
  <c r="BQ7" i="1" s="1"/>
  <c r="BR7" i="1" s="1"/>
  <c r="BS7" i="1" s="1"/>
  <c r="BP6" i="1"/>
  <c r="BQ6" i="1" s="1"/>
  <c r="BR6" i="1" s="1"/>
  <c r="BS6" i="1" s="1"/>
  <c r="BP5" i="1"/>
  <c r="BQ5" i="1" s="1"/>
  <c r="BR5" i="1" s="1"/>
  <c r="BS5" i="1" s="1"/>
  <c r="BP4" i="1"/>
  <c r="BQ4" i="1" s="1"/>
  <c r="BR4" i="1" s="1"/>
  <c r="BS4" i="1" s="1"/>
  <c r="BP3" i="1"/>
  <c r="BQ3" i="1" s="1"/>
  <c r="BR3" i="1" s="1"/>
  <c r="BS3" i="1" s="1"/>
  <c r="BP2" i="1"/>
  <c r="BQ2" i="1" s="1"/>
  <c r="BR2" i="1" s="1"/>
  <c r="BS2" i="1" s="1"/>
  <c r="BS110" i="1" s="1"/>
</calcChain>
</file>

<file path=xl/sharedStrings.xml><?xml version="1.0" encoding="utf-8"?>
<sst xmlns="http://schemas.openxmlformats.org/spreadsheetml/2006/main" count="446" uniqueCount="285">
  <si>
    <t>Nr. Lot IMSP</t>
  </si>
  <si>
    <t>Nr Lot Procedură I</t>
  </si>
  <si>
    <t>Nr Lot Procedură II</t>
  </si>
  <si>
    <t>Denumire Lot</t>
  </si>
  <si>
    <t>Specificația tehnică</t>
  </si>
  <si>
    <t>Unitatea de măsură</t>
  </si>
  <si>
    <t>Preț estimat cu TVA</t>
  </si>
  <si>
    <t>ADMINISTRATIA NATIONALA A PENITENCIARELOR</t>
  </si>
  <si>
    <t>CABINETUL INDIVIDUAL AL MEDICULUI DE FAMILIE CORCODEL GEORGETA</t>
  </si>
  <si>
    <t>CABINETUL INDIVIDUAL AL MEDICULUI DE FAMILIE PLESCA ELENA</t>
  </si>
  <si>
    <t>CENTRUL DE PLASAMENT TEMPORAR PENTRU PERSOANE CU DIZABILITATI MUN ORHEI</t>
  </si>
  <si>
    <t>IM CENTRUL STOMATOLOGIC RAIONAL CIMISLIA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</si>
  <si>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</si>
  <si>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</si>
  <si>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</si>
  <si>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</si>
  <si>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CAZANESTI</t>
  </si>
  <si>
    <t>IMSP CENTRUL DE SANATATE PEPENI</t>
  </si>
  <si>
    <t>IMSP INSTITUTUL DE CARDIOLOGIE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</si>
  <si>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</si>
  <si>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</si>
  <si>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</si>
  <si>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</si>
  <si>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STOMATOLOGICA REPUBLICANA</t>
  </si>
  <si>
    <t>IMSP SPITALUL CLINIC AL MINISTERULUI SANATATII</t>
  </si>
  <si>
    <t>IMSP SPITALUL CLINIC BALTI</t>
  </si>
  <si>
    <t>IMSP SPITALUL CLINIC MUNICIPAL DE COPII V IGNATENCO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</si>
  <si>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</si>
  <si>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</si>
  <si>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</si>
  <si>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</si>
  <si>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</si>
  <si>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</si>
  <si>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</si>
  <si>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</si>
  <si>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</si>
  <si>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</si>
  <si>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</si>
  <si>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</si>
  <si>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</si>
  <si>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</si>
  <si>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</si>
  <si>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</si>
  <si>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</si>
  <si>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</si>
  <si>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</si>
  <si>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</si>
  <si>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</si>
  <si>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</si>
  <si>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</si>
  <si>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</si>
  <si>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</si>
  <si>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</si>
  <si>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</si>
  <si>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</si>
  <si>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</si>
  <si>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</si>
  <si>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</si>
  <si>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</si>
  <si>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</si>
  <si>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</si>
  <si>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</si>
  <si>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UNGHENI</t>
  </si>
  <si>
    <t>IMSP SPITALUL RAIONAL VULCANESTI</t>
  </si>
  <si>
    <t>IP STOMATOLOGIE COMRAT</t>
  </si>
  <si>
    <t>SERVICIUL MEDICAL AL MINISTERULUI AFACERILOR INTERNE</t>
  </si>
  <si>
    <t>SPITALUL CLINIC MILITAR CENTRAL</t>
  </si>
  <si>
    <t>Grand Total</t>
  </si>
  <si>
    <t>Suma cu TVA</t>
  </si>
  <si>
    <t>Valoarea fără TVA</t>
  </si>
  <si>
    <t>Valoarea Estimată</t>
  </si>
  <si>
    <t xml:space="preserve">Acid poliglicolic PGA USP 6-0, 2 ace </t>
  </si>
  <si>
    <t>PGA Absorbabil violet împletit: lungimea suturii 45 cm, 2 ace, spatulă 6,5 mm, diametru 0,24 mm, curbura  ¼, 90° , sterila.  Parametrii diametrul si lungimea  acului si suturii ±2% . Corespunderea grosimii acului cu grosimea firului de sutură.</t>
  </si>
  <si>
    <t>Bucată</t>
  </si>
  <si>
    <t>Acid poliglicolic PGA USP 7-0, 2 ace</t>
  </si>
  <si>
    <t>PGA Absorbabil violet împletit 2 ace,  spatulă 5,5 mm , diametru 0,20 mm, curbura  3/8, 158°, lungimea suturii 45 cm, sterilă. Parametrii diametrul si lungimea  acului si suturii ±2%. Corespunderea grosimii acului cu grosimea firului de sutură..</t>
  </si>
  <si>
    <t>Benzi sutură adezive 6-7 mm</t>
  </si>
  <si>
    <t>Benzi adezive. hipoalergenice. delicate. ce se folosesc pentru înlocuirea suturilor chirurgicale de la nivelul epidermei.  Dimensiunile: 6-7 mm x 76-100 mm: (50 plicuri x 3 benzi)/cutie. </t>
  </si>
  <si>
    <t>Cutie</t>
  </si>
  <si>
    <t>Capron / steril  împletit USP 0</t>
  </si>
  <si>
    <t>Fir capron împletit steril ambalat cate 20 m USP 0</t>
  </si>
  <si>
    <t>Catgut chrom USP 0, ac 35/40 mm</t>
  </si>
  <si>
    <t>Catgut cromat steril. in ambalaj cu ac. USP 0 (EP 3.5). Ac rotund. lungimea ac: 1/2- 35. 40 mm. Lungimea firului minim 75cm. Corespunderea grosimii acului cu grosimea firului de sutură.</t>
  </si>
  <si>
    <t>Catgut chrom USP 1, ac 35/40/50 mm</t>
  </si>
  <si>
    <t>Catgut cromat steril. in ambalaj cu ac. USP 1 (EP 4).Ac rotund. lungimea ac: 35/40/50 mm. Lungimea firului minim 75cm. Corespunderea grosimii acului cu grosimea firului de sutură.</t>
  </si>
  <si>
    <t>Catgut chrom USP 1, fără ac</t>
  </si>
  <si>
    <t>Sutura chirur. Catgut cromat 4 M (USP 1) L=150 cm (steril)</t>
  </si>
  <si>
    <t>Catgut chrom USP 2-0, ac 30-35 mm</t>
  </si>
  <si>
    <t>Catgut chromat steril. in ambalaj cu ac. USP  2-0 (EP 3). Ac rotund. lungimea ac: 30-35 mm. Lungimea firului minim 75cm. Corespunderea grosimii acului cu grosimea firului de sutură.</t>
  </si>
  <si>
    <t>Catgut chrom USP 3-0, ac 15/20 mm</t>
  </si>
  <si>
    <t>Catgut chrom USP 3-0 ac bold rotund 15:20mm. Lungimea firului minim 75cm. Corespunderea grosimii acului cu grosimea firului de sutură.</t>
  </si>
  <si>
    <t>Catgut chrom USP 4-0, ac 15/20 mm</t>
  </si>
  <si>
    <t>Catgut Chrom, USP 4-0 ac bold rotund 15:20mm. Lungimea firului minim 75cm. Corespunderea grosimii acului cu grosimea firului de sutură.</t>
  </si>
  <si>
    <t>Catgut chrom USP 5-0, ac 15 mm</t>
  </si>
  <si>
    <t>Catgut chrom, USP 5-0 ac bold rotund 15mm. Lungimea firului minim 75cm. Corespunderea grosimii acului cu grosimea firului de sutură.</t>
  </si>
  <si>
    <t>Catgut necromat USP 1, fără ac</t>
  </si>
  <si>
    <t xml:space="preserve">Catgut necromat 150 cm. N 4 metric steril. USP1 </t>
  </si>
  <si>
    <t>Catgut necromat USP 2-0, fără ac Nr 3</t>
  </si>
  <si>
    <t>Catgut necromat 150cm. N 3 metric steril. (USP 2/0)</t>
  </si>
  <si>
    <t>Catgut necromat USP 2-0, fără ac Nr 5</t>
  </si>
  <si>
    <t>Catgut necromat 150cm. N 5 metric steril. USP 2</t>
  </si>
  <si>
    <t>Catgut necromat USP 2-0, fără ac Nr 6</t>
  </si>
  <si>
    <t>Catgut necromat 150 cm. N 6 metric steril</t>
  </si>
  <si>
    <t>Catgut necromat USP 3-0, fără ac Nr 7</t>
  </si>
  <si>
    <t>Catgut necromat 150 cm. N 7 metric steril</t>
  </si>
  <si>
    <t>Catgut plain USP 0, ac 30-35 mm</t>
  </si>
  <si>
    <t>Catgut plain steril. in ambalaj cu ac. EP. 3.5. ac 1/2 rotund. lungimea ac: 30-35 mm. Lungimea firului minim 75cm. USP 0 (EP3.5). Corespunderea grosimii acului cu grosimea firului de sutură.</t>
  </si>
  <si>
    <t>Catgut plain USP 3-0, ac 30-35 mm</t>
  </si>
  <si>
    <t>Catgut plain. USP-3-0; Lungimea firului minim 75cm. ac 1/2 rotund  30-35 mm. Corespunderea grosimii acului cu grosimea firului de sutură.</t>
  </si>
  <si>
    <t>Catgut plain USP 0, ac 37 mm</t>
  </si>
  <si>
    <t>Surgical suture. Plain Catgut. absorbable suture.  USP0. Lungimea firului minim 75cm.  1/2 circle round bodied. 37mm. Corespunderea grosimii acului cu grosimea firului de sutură.</t>
  </si>
  <si>
    <r>
      <t xml:space="preserve">Catgut plain </t>
    </r>
    <r>
      <rPr>
        <sz val="11"/>
        <color rgb="FFFF0000"/>
        <rFont val="Times New Roman"/>
        <family val="1"/>
        <charset val="204"/>
      </rPr>
      <t>USP 1</t>
    </r>
    <r>
      <rPr>
        <sz val="11"/>
        <color theme="1"/>
        <rFont val="Times New Roman"/>
        <family val="1"/>
        <charset val="204"/>
      </rPr>
      <t>, ac 40-45 mm</t>
    </r>
  </si>
  <si>
    <t>Catgut plan cu ac: lungimea 1/2- min. 40 maxim 45 mm. EP-4. Lungimea firului minim 75cm. Steril. USP 1-0. Corespunderea grosimii acului cu grosimea firului de sutură.</t>
  </si>
  <si>
    <t>Catgut plain USP 2, ac 35-40 mm</t>
  </si>
  <si>
    <t>Catgut plan cu ac rotund. lungimea ac: min. 35 max 40 mm. Lungimea firului minim 75cm. steril. USP 2 (EP5). Corespunderea grosimii acului cu grosimea firului de sutură.</t>
  </si>
  <si>
    <t>Catgut plain USP 2-0, ac 45 mm</t>
  </si>
  <si>
    <t>Catgut plain. USP 2-0. Lungimea firului minim 75cm. ac 1/2 rotund 45mm. (EP3). Corespunderea grosimii acului cu grosimea firului de sutură.</t>
  </si>
  <si>
    <t>Catgut Simple USP 0, ac 26-27 mm</t>
  </si>
  <si>
    <t>Sutura chirur. Catgut simple 3.5M (USP 0) Lungimea firului minim 75cm. ac 26-27 mm. 1/2 cerc. rotund (steril). Corespunderea grosimii acului cu grosimea firului de sutură.</t>
  </si>
  <si>
    <t>Catgut Simple USP 1, ac 26 mm</t>
  </si>
  <si>
    <t>Catgut Simple USP 1 (EP4). cu 1 ac. bold rotund 1/2 x 26 mm. Lungimea firului minim 75cm. Corespunderea grosimii acului cu grosimea firului de sutură.</t>
  </si>
  <si>
    <t>Catgut Simple USP 1, ac 30 mm</t>
  </si>
  <si>
    <t>Sutura chirur. Catgut simple 4M (USP 1) Lungimea firului minim 75cm. ac 3/8 cerc. rotund 30 mm (steril) +/-1 mm. Corespunderea grosimii acului cu grosimea firului de sutură.</t>
  </si>
  <si>
    <t>Catgut Simple USP 2-0, ac 26-30 mm</t>
  </si>
  <si>
    <t>Sutura chirur. Catgut simple 3M (USP 2-0) Lungimea firului minim 75cm ac 26-30 mm 1/2 cerc. rotund (steril). Corespunderea grosimii acului cu grosimea firului de sutură.</t>
  </si>
  <si>
    <t>Catgut Simple USP 3, ac 50 mm</t>
  </si>
  <si>
    <t>Catgut USP 3, 6  metric. ac circular. 1/2rotund 50mm +/-1 mm. Lungimea firului minim 75cm. Corespunderea grosimii acului cu grosimea firului de sutură.</t>
  </si>
  <si>
    <t>Catgut Simple USP 3-0, ac 17 mm</t>
  </si>
  <si>
    <t>Catgut Simple, USP 3-0 (EP2). cu 1 ac. bold rotund 1/2 x 17mm. Lungimea firului minim 75cm. Corespunderea grosimii acului cu grosimea firului de sutură.</t>
  </si>
  <si>
    <t>Catgut Simple USP 5-0, ac 17 mm</t>
  </si>
  <si>
    <t>CatGut Simple USP 5-0 (EP1). cu 1 ac. bold rotund 1/2 x 17 mm. Lungimea firului minim 75cm. Corespunderea grosimii acului cu grosimea firului de sutură.</t>
  </si>
  <si>
    <t>Fire atraumatice cardiovasculară monofilament  cu  2 ace
Poliofelin sintetic liniar si polipropilen şi polietilen pentru artere coronare USP 6-0.</t>
  </si>
  <si>
    <t>Fire atraumatice cardiovasculară monofilament  cu  2 ace
Poliofelin sintetic liniar si polipropilen şi polietilen pentru artere coronare USP 6-0. Lungimea suturii (cm)	75. Lungimea acului (mm)	13. Curbura acului	C-1  3/8 taper. Corespunderea grosimii acului cu grosimea firului de sutură.</t>
  </si>
  <si>
    <t>Fire atraumatice cardiovasculară monofilament  cu  2 ace
Poliofelin sintetic liniar si polipropilen şi polietilen pentru artere coronare USP 7-0. Lungimea acului (mm)	 9. C-1</t>
  </si>
  <si>
    <t>Fire atraumatice cardiovasculară monofilament  cu  2 ace
Poliofelin sintetic liniar si polipropilen şi polietilen pentru artere coronare USP 7-0. Lungimea suturii (cm)	75. Lungimea acului (mm)	9. Curbura acului	C-1  3/8 taper. Corespunderea grosimii acului cu grosimea firului de sutură.</t>
  </si>
  <si>
    <t>Fire atraumatice cardiovasculară monofilament  cu  2 ace. Poliofelin sintetic liniar si polipropilen şi polietilen. USP 3-0 Lungimea acului (mm)	17</t>
  </si>
  <si>
    <t>Fire atraumatice cardiovasculară monofilament  cu  2 ace.
Poliofelin sintetic liniar si polipropilen şi polietilen. USP 3-0. Lungimea suturii (cm)	90. Lungimea acului (mm)	17. Curbura acului	1/2 Taper. Corespunderea grosimii acului cu grosimea firului de sutură.</t>
  </si>
  <si>
    <t>Fire atraumatice cardiovasculară monofilament  cu  2 ace. Poliofelin sintetic liniar si polipropilen şi polietilen. USP 4-0 Lungimea acului (mm)	17.  3/8</t>
  </si>
  <si>
    <t>Fire atraumatice cardiovasculară monofilament  cu  2 ace.
Poliofelin sintetic liniar si polipropilen şi polietilen. USP 4-0. Lungimea suturii (cm)	90. Lungimea acului (mm)	17. Curbura acului	3/8 Taper. Corespunderea grosimii acului cu grosimea firului de sutură.</t>
  </si>
  <si>
    <t>Fire atraumatice cardiovasculară monofilament  cu  2 ace. Poliofelin sintetic liniar si polipropilen şi polietilen. USP 4-0 Lungimea acului (mm)	17. 1/2</t>
  </si>
  <si>
    <t>Fire atraumatice cardiovasculară monofilament  cu  2 ace.
Poliofelin sintetic liniar si polipropilen şi polietilen. USP 4-0.Lungimea suturii (cm)	75. Lungimea acului (mm)	17. Curbura acului	1/2 Taper. Corespunderea grosimii acului cu grosimea firului de sutură.</t>
  </si>
  <si>
    <t>Fire atraumatice cardiovasculară monofilament  cu  2 ace. Poliofelin sintetic liniar si polipropilen şi polietilen. USP 5-0 Lungimea acului (mm)	17. 1/2</t>
  </si>
  <si>
    <t>Fire atraumatice cardiovasculară monofilament  cu  2 ace.
Poliofelin sintetic liniar si polipropilen şi polietilen. USP 5-0. Lungimea suturii (cm)	75. Lungimea acului (mm)	17. Curbura acului	1/2 Taper. Corespunderea grosimii acului cu grosimea firului de sutură.</t>
  </si>
  <si>
    <t>Fire atraumatice cardiovasculară monofilament  cu  2 ace. USP 4-0.  lungime ac 17 mm</t>
  </si>
  <si>
    <t>Fire atraumatice cardiovasculară monofilament  cu  2 ace Poliofelin sintetic liniar si polipropilen şi polietilen. USP 4-0; Lungimea suturii (cm) – 90; Lungimea acului (mm) – 17 ± 2%; Curbura acului – ½ Taper; Corespunderea grosimii acului cu grosimea firului de sutură.</t>
  </si>
  <si>
    <t>Fire atraumatice cardiovasculară monofilament  cu  2 ace. USP 5-0.  lungime ac 17 mm</t>
  </si>
  <si>
    <t>Fire atraumatice cardiovasculară monofilament  cu  2 ace Poliofelin sintetic liniar si polipropilen şi polietilen. USP 5-0; Lungimea suturii (cm.) – 90 ; Lungimea acului (mm.) – 17 ± 2%; Curbura acului – 1/2Taper; Corespunderea grosimii acului cu grosimea firului de sutură.</t>
  </si>
  <si>
    <t>Fire atraumatice cardiovasculară monofilament  cu  2 ace. USP 6-0.  lungime ac 13 mm</t>
  </si>
  <si>
    <t>Fire atraumatice cardiovasculară monofilament  cu  2 ace Poliofelin sintetic liniar si polipropilen şi polietilen. USP 6-0; Lungimea suturii (cm) – 75; Lungimea acului (mm) – 13 ± 2%; Curbura acului – 3/8; vîrful acului – Taper; Tip acului 55-85 gram de efort asupra acului. Corespunderea grosimii acului cu grosimea firului de sutură.</t>
  </si>
  <si>
    <t>Fire atraumatice cardiovasculară monofilament  cu  2 ace. USP 6-0.  lungime ac 9 mm</t>
  </si>
  <si>
    <t>Fire atraumatice cardiovasculară monofilament  cu  2 ace Poliofelin sintetic liniar si polipropilen şi polietilen pentru artere coronare. USP 6-0; Lungimea suturii (cm) – 60; Lungimea acului (mm) – 9 ± 2%; Curbura acului - 3/8 taper; Corespunderea grosimii acului cu grosimea firului de sutură.</t>
  </si>
  <si>
    <t>Fire atraumatice cardiovasculară monofilament  cu  un ac. Poliofelin sintetic liniar si polipropilen şi polietilen. USP 3-0. Lungimea acului (mm)	17. 1/2</t>
  </si>
  <si>
    <t>Fire atraumatice cardiovasculară monofilament  cu  un ac
Poliofelin sintetic liniar si polipropilen şi polietilen USP 3-0. Lungimea firului minim 75cm. Lungimea acului (mm)	17. Curbura acului	1/2. Forma acului Taper. Corespunderea grosimii acului cu grosimea firului de sutură.</t>
  </si>
  <si>
    <t xml:space="preserve">Fire atraumatice cardiovasculară monofilament  cu  un ac. USP 4-0. Lungimea acului 17 mm. </t>
  </si>
  <si>
    <t>Fire atraumatice cardiovasculară monofilament  cu  un ac Poliofelin sintetic liniar si polipropilen şi polietilen. USP 4-0; Lungimea suturii (cm.) – minim 75; Lungimea acului (mm.) – 17± 2%; Curbura acului – 1/2; Forma acului – Taper; Corespunderea grosimii acului cu grosimea firului de sutură.</t>
  </si>
  <si>
    <t xml:space="preserve">Fire atraumatice cardiovasculară monofilament  cu  un ac. USP 5-0. Lungimea acului 13 mm. </t>
  </si>
  <si>
    <t>Fire atraumatice cardiovasculară monofilament  cu  un ac Poliofelin sintetic liniar si polipropilen şi polietilen. USP 5-0; Lungimea suturii (cm.) – minim 75; Lungimea acului (mm.) – 13± 2%; Curbura acului – 3/8; Forma acului – Taper; Corespunderea grosimii acului cu grosimea firului de sutură.</t>
  </si>
  <si>
    <t xml:space="preserve">Fire atraumatice cardiovasculară monofilament  cu  un ac. USP 6-0. Lungimea acului 13 mm. </t>
  </si>
  <si>
    <t>Fire atraumatice cardiovasculară monofilament  cu  un ac Poliofelin sintetic liniar si polipropilen şi polietilen. USP 6-0; Lungimea suturii (cm.) – minim 75; Lungimea acului (mm.) – 13± 2%; Curbura acului – 3/8; Forma acului – Taper; Corespunderea grosimii acului cu grosimea firului de sutură.</t>
  </si>
  <si>
    <t>Fire atraumatice cardiovasculară monofilament  cu 2 ace. USP 0. lungimea acului 35 mm</t>
  </si>
  <si>
    <t>Fire atraumatice cardiovasculară monofilament  cu 2 ace Poliofelin sintetic liniar si polipropilen. USP  0; Lungimea suturii (cm) – minim 90; Lungimea acelor (mm) – 35 +/-1 mm; Curbura acului - 1/2 Taper Point. Corespunderea grosimii acului cu grosimea firului de sutură.</t>
  </si>
  <si>
    <t>Fire metalice pentru stern Metric EP 2</t>
  </si>
  <si>
    <t>Fire metalice pentru stern.  Metric EP 2. USP 3-0. Lungimea mini. 45 cm; Lungimea ac 45-50 mm; Curbura ac 1/2; Vârf ac  Tapercut. Material: Monofilament 316 L oțel inoxidabil, conform standardului minim pentru implanturi din aliaje metalice ASTM F138, ISO 5832-1. Sudare cu laser.  Corespunderea grosimii acului cu grosimea firului de sutură.</t>
  </si>
  <si>
    <t>Mătase Naturală fara ac USP 1</t>
  </si>
  <si>
    <t>Mătase Naturală USP  1  L - minim 60cm. fara ac .culoarea suturii- neagra ; Cantitatea in pachet 10-12 buc.</t>
  </si>
  <si>
    <t>(blank)</t>
  </si>
  <si>
    <t xml:space="preserve">Mătase Naturală USP 4-0
2 ace - oftalmologie
</t>
  </si>
  <si>
    <t>Mătasa oftalmologică 4-0. Matasa neagra împletita: lungimea suturii 45 cm. 2 ace (posibil de folosit fiecare ac in parte). spatulă.  lungimea 6.5 ± 2% mm; diametru 0.20 mm ± 2%. curbura 3/8 . steril. Corespunderea grosimii acului cu grosimea firului de sutură.</t>
  </si>
  <si>
    <t>NYLON USP 3-0, ac rotund. 15 mm</t>
  </si>
  <si>
    <t xml:space="preserve">NYLON (Polyamide) USP 3-0 (neabsorbabil ).ac rotund. 15 mm. 3/8. Lungimea firului minim 45cm. Corespunderea grosimii acului cu grosimea firului de sutură. </t>
  </si>
  <si>
    <t>NYLON USP 4-0, ac 22-25 mm</t>
  </si>
  <si>
    <t>Mat. de sut.sint.multifil.atraum.nerezorb. (poliamid). ac rotund    22-25 mm. 1/2 din cerc.4-0. Lungimea firului minim 75cm. Corespunderea grosimii acului cu grosimea firului de sutură.</t>
  </si>
  <si>
    <t>NYLON USP 5-0, ac rotund. 16 mm</t>
  </si>
  <si>
    <t xml:space="preserve">NYLON (Polyamide) USP 5-0 (neabsorbabil ).ac rotund. 16 mm .1/2. Lungimea firului minim 35cm. Corespunderea grosimii acului cu grosimea firului de sutură. </t>
  </si>
  <si>
    <t>NYLON USP 9 -0;- 2 ace</t>
  </si>
  <si>
    <t xml:space="preserve">Nylon 9-0. Neilon negru monofilament: lungimea suturii 30cm . 2 ace. spatulă.   Lungimea 6.0mm ± 2%;. diametru 0.20mm ± 2%. curbura 3/8. steril. Corespunderea grosimii acului cu grosimea firului de sutură. </t>
  </si>
  <si>
    <t>POLIDIOXANONA USP 2-0, ac 26 mm,  echivalent cu tip V-LOC-90</t>
  </si>
  <si>
    <t xml:space="preserve">Sutură absorbabila PDO .tip V-LOC-90. USP 2-0;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absorbabileVLOCM0625. Corespunderea grosimii acului cu grosimea firului de sutură. </t>
  </si>
  <si>
    <t>POLIDIOXANONA USP 4-0, ac 16-17 mm</t>
  </si>
  <si>
    <t xml:space="preserve"> Sutură atraumatică absorbabilă cu un ac monofilament  Polydioxanone (PDO) USP 4-0; Lungimea suturii (cm) – 60-75; Lungimea acului (mm) – 16-17; Curbura acului – 3/8 cutting; culoarea suturii – alba; să-şi menţină proprietăţile de 75-80% la 14 zile şi 40-50% la 21 de zile.. Corespunderea grosimii acului cu grosimea firului de sutură.</t>
  </si>
  <si>
    <t>Poliester USP 5-0, ac 16 mm</t>
  </si>
  <si>
    <t xml:space="preserve">Poliester PET USP 5-0 neabsorbabil. ac rotund. 16 mm. 1/2. Lungimea firului minim 60cm. Corespunderea grosimii acului cu grosimea firului de sutură. </t>
  </si>
  <si>
    <t>Polipropilenă USP 10-0, ac 6 mm</t>
  </si>
  <si>
    <t>Polypropylene   (PM)  USP 10-0  Neabsorbabil. L - 30 cm. 1 ac. 6 mm. ac rotund. curbura acului ½. ascuțite.  culoarea albastră. diametru acului nu mai mare ca diametru firului. rezistența firului la rupere. Corespunderea grosimii acului cu grosimea firului de sutură.</t>
  </si>
  <si>
    <t>Polipropilenă USP 8-0, ac 8 mm</t>
  </si>
  <si>
    <t>Polypropylene   (PM)  USP 8-0  Neabsorbabil. Lungimea firului minim 45cm. 1 ac. 8 mm. ac rotund. curbura acului ½.  culoarea albastră. diametru acului nu mai mare ca diametru firului. rezistența firului la rupere. Corespunderea grosimii acului cu grosimea firului de sutură.</t>
  </si>
  <si>
    <t>Sutură atraumatică absorbabilă împletită  USP 3-0. lungimea acului 25</t>
  </si>
  <si>
    <t xml:space="preserve">Sutură atraumatică absorbabilă monofilament conţinut din compus din glycolide (60%). dioxanone (14%) şi trimethylene carbonate (26 %). să-şi menţină proprietăţile de 75% la 14 zile şi 40% la 21 de zile  USP 3-0. Lungimea suturii (cm ) 	60-75
	Lungimea  acului (m m)	25
	Curbura acului 	3/8 cutting
		Corespunderea grosimii acului cu grosimea firului de sutură		</t>
  </si>
  <si>
    <t>Suplimentar</t>
  </si>
  <si>
    <t>Acid poliglicolic PGA USP 6/0</t>
  </si>
  <si>
    <t>Acid poliglicolic PGA Absorbabil violet împletit: lungimea suturii 45 cm, 2 ace, spatulă 6,5 mm, diametru 0,24 mm, curbura ¼, 90° , sterila. Parametrii diametrul si lungimea acului si suturii ±2% ,</t>
  </si>
  <si>
    <t>Acid poliglicolic PGA USP 7/0</t>
  </si>
  <si>
    <t>Acid poliglicolic PGA Absorbabil violet împletit 2 ace, spatulă 5,5 mm , diametru 0,20 mm, curbura 3/8, 158°, lungimea suturii 45 cm, sterilă. Parametrii diametrul si lungimea acului si suturii ±2%.</t>
  </si>
  <si>
    <t>Acid poliglicolic PGA USP 8/0</t>
  </si>
  <si>
    <t>Acid poliglicolic PGA Absorbabil violet împletit 2 ace, spatulă 6,5 mm , diametru 0,20 mm, curbura 3/8, 135°, lungimea suturii 30 cm, sterilă. Parametrii diametrul si lungimea acului si suturii ±2%</t>
  </si>
  <si>
    <t>Acid poliglicolic PGA USP 8/0, l=20 cm</t>
  </si>
  <si>
    <t>8/0, 1 ac, sterila, oftalmica, Sutura armata - fir 8-0 Polyglycolic Acid) – Absorbabilă, violet, împletită 20 cm ± 0,5 cm, ac curbat lungimea 6,5 mm ± 0,1 mm, 3/8, 135°, diametru 0,2 mm ± 0,1 mm, tip spatulat rotunjit, swage laser.</t>
  </si>
  <si>
    <t>Acid poliglicolic PGA USP 8/0, l=30 cm</t>
  </si>
  <si>
    <t>8/0, doua ace, sterila, oftalmica, Sutura armata - fir 8-0 Polyglycolic Acid) – Absorbabilă, violet, împletită 30 cm ± 0,5 cm, ac curbat lungimea 6,5 mm ± 0,1 mm, 3/8, 135°, diametru 0,2 mm ± 0,1 mm, tip spatulat rotunjit, swage laser.</t>
  </si>
  <si>
    <t>Acid poliglicolic PGA USP 9/0</t>
  </si>
  <si>
    <t>Sutura resorbabila, polyglactin, sterila, oftalmica,9/0, 0,2mm x30 cm (2 ace 3/8 , tip spatula, d=0,20±2% mm, L=6,55±2% mm),steril *</t>
  </si>
  <si>
    <t>Acid poliglicolic rapid USP 2-L 100cm</t>
  </si>
  <si>
    <t xml:space="preserve">USP 2-L minim 100cm. 1 ac ½rotund 48mm ±2%. Corespunderea grosimii acului cu grosimea firului de sutură.
</t>
  </si>
  <si>
    <t>Capron / steril  împletit USP 2 -METRIC 5</t>
  </si>
  <si>
    <t>Capron / steril  împletit. USP 2 -METRIC 5. 20m. sutura  împletită.  nevopsită. pe suport cilindric tip bobină-mosor. steril.</t>
  </si>
  <si>
    <t>Capron / steril împletit USP 2-METRIC 5</t>
  </si>
  <si>
    <t>1.USP 2 (EP5)
2.Polifilament (multifilament), sintetic, filmat, împletită, nevopsită 
3.Reacție minima la nivel de țesut
4.Neresorbabil
5.Pe suport cilindric tip bobină-mosor ≈ 20m steril
6.Rezistență ridicată la rupere
7.Structură flexibilă, rezistență la oboseală
8.Sterilizare: radiații Gamma
9.Ambalare individuală</t>
  </si>
  <si>
    <t>Capron / steril  împletit USP 3/0-METRIC 2</t>
  </si>
  <si>
    <t xml:space="preserve">Capron / steril  împletit. USP 3/0-METRIC 2. 20m. sutura  împletită.  nevopsită. pe suport cilindric tip bobină-mosor. steril.
</t>
  </si>
  <si>
    <t>Capron din bobine N3</t>
  </si>
  <si>
    <t>Capron din bobine N3 (250 m). Nerezorbabil. Răsucit. Alb. Nesteril. Material de sutură.</t>
  </si>
  <si>
    <t>Fir sintetic monofilament absorbabil USP 3/0 (sutura toracică - echivalent Biosyn)</t>
  </si>
  <si>
    <t>Fir sintetic monofilament absorbabil, L - 90cm, 2 ace, diversitatea acului 26 mm - 30 mm, ac rotund, curbura acului ½, ascuțite, diametru acului nu mai mare ca diametru firului, rezistența firului la rupere.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țesuturi.</t>
  </si>
  <si>
    <t>Fire atraumatice cardiovasculară monofilament cu 2 ace. Poliofelin sintetic liniar si polipropilen şi polietilen. USP 5-0 Lungimea acului (mm) 10</t>
  </si>
  <si>
    <t>Fire atraumatice cardiovasculară monofilament cu 2 ace.Poliofelin sintetic liniar si polipropilen si polietilen USP 5-0.Lungimea suturii(cm)75.Lungimea acului (cm)10.Curbura acului 1/2 Taper. Corespunderea grosimii acului cu grosimea firului de sutura.</t>
  </si>
  <si>
    <t>Fire atraumatice cardiovasculară monofilament cu 2 ace.Poliofelin sintetic liniar si polipropilen si polietilen USP5-0.Lungimea suturii(cm)90.Lungimea acului (cm)10.Curbura acului 3/8 Taper. Corespunderea grosimii acului cu grosimea firului de sutura.</t>
  </si>
  <si>
    <t>Fire atraumatice cardiovasculară monofilament cu 2 ace. Poliofelin sintetic liniar si polipropilen şi polietilen. USP 6-0 Lungimea acului (mm) 10</t>
  </si>
  <si>
    <t>Fire atraumatice cardiovasculară monofilament cu 2 ace.Poliofelin sintetic liniar si polipropilen si polietilen USP6-0.Lungimea suturii(cm)75.Lungimea acului (cm)10.Curbura acului 1/2 Taper. Corespunderea grosimii acului cu grosimea firului de sutura.</t>
  </si>
  <si>
    <t>Fire atraumatice cardiovasculară monofilament cu 2 ace.Poliofelin sintetic liniar si polipropilen si polietilen USP6-0.Lungimea suturii(cm)90.Lungimea acului (cm)10.Curbura acului 3/8 Taper. Corespunderea grosimii acului cu grosimea firului de sutura.</t>
  </si>
  <si>
    <t>Fire atraumatice cardiovasculară monofilament cu un ac Poliofelin sintetic liniar si polipropilen şi polietilen</t>
  </si>
  <si>
    <t xml:space="preserve">Fire atraumatice cardiovasculară monofilament cu un ac Poliofelin sintetic liniar si polipropilen şi polietilen. USP 5/0; Lungimea suturii (cm.) – 75; Lungimea acului (mm.) – 17± 2%; Curbura acului – 1/2; Forma acului – Taper;
</t>
  </si>
  <si>
    <t>Fire atraumatice cardiovasculară monofilament cu 2 ace. USP 0. lungimea acului 35 mm</t>
  </si>
  <si>
    <t xml:space="preserve">Fire atraumatice cardiovasculară monofilament cu 2 ace Poliofelin sintetic liniar si polipropilen. USP 0; Lungimea suturii (cm) – 90; Lungimea acelor (mm) – 35± 2%; Curbura acului - 1/2 Taper Point 
</t>
  </si>
  <si>
    <t>Fire metalice pentru stern. USP 2 Metric EP 5</t>
  </si>
  <si>
    <t>Fire metalice pentru stern USP 2 Metric EP5 ; Lungimea firului minim 75cm; Lungimea acului (mm) – 40. Curbura acului – 1/2 TaperPoint, reverse cutting needle; Corespunderea grosimii acului cu grosimea firului de sutură.</t>
  </si>
  <si>
    <t>Lenta pentru retracție organele și vase.</t>
  </si>
  <si>
    <t>Lenta pentru retracție organele și vase. Lungimea 60 - 70 cm, Lățimea 5- 6 mm</t>
  </si>
  <si>
    <t xml:space="preserve">Mătase USP 4-0
2 ace 
</t>
  </si>
  <si>
    <t>Mătasa naturală oftalmologică 4-0. Matasa neagra împletita: lungimea suturii 45 cm. 2 ace (posibil de folosit fiecare ac in parte). spatulă. lungimea 13 ± 2% mm; diametru 0.38 mm ± 2%. curbura 3/8 . steril. Corespunderea grosimii acului cu grosimea firului de sutură.</t>
  </si>
  <si>
    <t>Mătase USP 8/0, l= 20 cmm</t>
  </si>
  <si>
    <t>8/0, 1 ac, sterila, oftalmica, Sutura armata - fir 8-0 mătase) – neabsorbabilă, negru, împletită 20 cm ± 0,5 cm, ac curbat lungimea 6,5 mm ± 0,1 mm, 3/8, 135°, diametru 0,2 mm ± 0,1 mm, tip spatulat rotunjit, swage laser.</t>
  </si>
  <si>
    <t>Mătase USP 8/0, l= 45 cmm</t>
  </si>
  <si>
    <t>8/0, doua ace, sterila, oftalmica, Sutura armata - fir 8-0 mătase) – neabsorbabilă, negru, împletită 45 cm ± 0,5 cm, ac curbat lungimea 6,5 mm ± 0,1 mm, 3/8, 135°, diametru 0,2 mm ± 0,1 mm, tip spatulat rotunjit, swage laser.</t>
  </si>
  <si>
    <t>Nylon 9/0, l= 15cm</t>
  </si>
  <si>
    <t>9/0, 1 ac, sterila, oftalmica, Sutura armata - fir 9-0 nylon neagră monofilament 15cm ± 0,5 cm, ac curbat lungimea 6 mm ± 0,1 mm, 3/8, 135°, diametru 0,14 mm ± 0,1 mm, tip spatulat rotunjit, swage laser.</t>
  </si>
  <si>
    <t>Nylon 9/0, l= 30cm</t>
  </si>
  <si>
    <t>9/0, doua ace, sterila, oftalmica, Sutura armata - fir 9-0 nylon neagră monofilament 30cm ± 1cm, ac curbat lungimea 6 mm ± 0,1 mm, 3/8, 135°, diametru 0,14 mm ± 0,1 mm, tip spatulat rotunjit, swage laser.</t>
  </si>
  <si>
    <t>Nylon USP 10/0</t>
  </si>
  <si>
    <t>10/0, doua ace, sterila, oftalmica, Sutura armata - fir 10-0 nylon neagră monofilament 30cm ± 1cm, ac curbat lungimea 6 mm ± 0,1 mm, 3/8, 135°, diametru 0,14 mm ± 0,1 mm, tip spatulat rotunjit, swage laser.</t>
  </si>
  <si>
    <t>10/0, 1 ac, sterila, oftalmica, Sutura armata - fir 10-0 nylon neagră monofilament 15cm ± 0,5 cm, ac curbat lungimea 6 mm ± 0,1 mm, 3/8, 135°, diametru 0,14 mm ± 0,1 mm, tip spatulat rotunjit, swage laser.</t>
  </si>
  <si>
    <t>Fir sutură nailon 10/0 nailon oftalmologic monofil.10/0, 0.2mmx30cm (2ace 3/8, tip Spatula, d=0.2±2%mm, L=6.2±2%mm), steril</t>
  </si>
  <si>
    <t>NYLON USP 10-0, 2 ace</t>
  </si>
  <si>
    <t>Nailon oftalmic monofil.. 10-0, 0,2mm x30 cm (2 ace 3/8, tip Spatula, d=0,14±2% mm, L=6,5±2% mm), steril. Corespunderea grosimii acului cu grosimea firului de sutură.</t>
  </si>
  <si>
    <t>Parenhima set Nr.3</t>
  </si>
  <si>
    <t>Set sutura pentru organe parenhimatoase.Neabsosbabil.Nr.3,lung.-45cm</t>
  </si>
  <si>
    <t>Parenhima set Nr.4</t>
  </si>
  <si>
    <t>Set sutura pentru organe parenhimatoase.Neabsosbabil.Nr.4,lung.-45cm</t>
  </si>
  <si>
    <t>Poliester 5mm CTX 48 mm neabsorbabilă cu 2 ace , ac rotund 1/ cerc albă (echivalent Mersilene)</t>
  </si>
  <si>
    <t>Polyester echivalent cu Mersilene 5mm CTX 48 mm neabsorbabilă cu 2 ace , ac rotund Taper Point 1/2 cerc albă</t>
  </si>
  <si>
    <t>Poliester USP 1 (4 metric) ac 26 mm 1/2 cerc</t>
  </si>
  <si>
    <t>Polyester Braided USP 1 (4 metric) ac 26 mm 1/2 cerc</t>
  </si>
  <si>
    <t>Poliester USP 2 (5 metric) ac 36 mm 1/2 cerc</t>
  </si>
  <si>
    <t>Polyester Braided USP 2 (5 metric) ac 36 mm 1/2 cerc</t>
  </si>
  <si>
    <t>Poliester USP 5-0, ac 8 mm</t>
  </si>
  <si>
    <t>Sutura chir. oftalm. Poliester (grosime 5-0, impletit, alb, dublu armat, L=45 mm, ac 1/4, spatulat, d=0,35±2%mm, L=8 ,0±2%), steril. Corespunderea grosimii acului cu grosimea firului de sutură.</t>
  </si>
  <si>
    <t>Poliester USP 6-0</t>
  </si>
  <si>
    <t>(grosime 6/0, impletit, alb, dublu armat, L=45 mm, ac 1/4, spatulat, d=0,35±2%mm, L=7,92±2%, steril</t>
  </si>
  <si>
    <t>Polipropilen, USP 1,metric 4, cu ac 1/2, lungimea acului 35-39 mm, ac taios lungimea atei 75 cm</t>
  </si>
  <si>
    <t>Sutura atraumatica Polipropilen,USP 1,metric 4, cu ac 1/2, lungimea acului 35-39 mm, ac taios lungimea atei 75 cm</t>
  </si>
  <si>
    <t>Polipropilen, USP 1,metric 4, cu ac 1/2, lungimea acului 35-39 mm, round bondied, lungimea atei 75 cm</t>
  </si>
  <si>
    <t>Sutura atraumatica Polipropilen, USP 1,metric 4, cu ac 1/2, lungimea acului 35-39 mm, round bondied, lungimea atei 75 cm</t>
  </si>
  <si>
    <t>Polipropilen, USP 10/0 pentru Fixarea cristalinului la scleră, ace curbate</t>
  </si>
  <si>
    <t>Fir polipropilen 10/0, albastra monofilament lungimea suturii 20cm, ac curbat 15- 16 mm spatulat rotunjit, swage laser, diametru acului 0,24 mm. curbura 1/4, 90” Parametrii diametrul si lungimea acului si suturii ±2% steril</t>
  </si>
  <si>
    <t>Polipropilen, USP 2, metric 5, cu ac 1/2, lungimea acului 35-39 mm, ac taios, lungimea atei 75 cm</t>
  </si>
  <si>
    <t>Sutura atraumatica Polipropilen, USP 2, metric 5, cu ac 1/2, lungimea acului 35-39 mm, ac taios, lungimea atei 75 cm</t>
  </si>
  <si>
    <t>Polipropilen, USP 2, metric 5,cu ac 1/2, lungimea acului 35-39 mm, round bondied, lungimea atei 75 cm</t>
  </si>
  <si>
    <t>Sutura atraumatica Polipropilen, USP 2, metric 5,cu ac 1/2, lungimea acului 35-39 mm, round bondied, lungimea atei 75 cm</t>
  </si>
  <si>
    <t>Polipropilen, USP 2,metric 5, ac 1/2, lungimea acului 40, round bondied, lungimea atei 75 cm</t>
  </si>
  <si>
    <t>Sutura atraumatica Polipropilen, USP 2,metric 5, ac 1/2, lungimea acului 40, round bondied, lungimea atei 75 cm</t>
  </si>
  <si>
    <t>Polipropilen, USP 2,metric 5, ac 1/2, lungimea acului 48, round bondied, lungimea atei 75 cm</t>
  </si>
  <si>
    <t>Sutura atraumatica Polipropilen, USP 2,metric 5, ac 1/2, lungimea acului 48, round bondied, lungimea atei 75 cm</t>
  </si>
  <si>
    <t>Polipropilen, USP 2,metric 5, cu ac taios 1/2, lungimea acului 35-39 mm, lungimea atei 75 cm</t>
  </si>
  <si>
    <t>Sutura atraumatica Polipropilen, USP 2,metric 5, cu ac taios 1/2, lungimea acului 35-39 mm, lungimea atei 75 cm</t>
  </si>
  <si>
    <t>Polipropilen, USP 2,metric 5, cu ac 1/2, lungimea acului 40 mm, ac taios, lungimea atei 75 cm</t>
  </si>
  <si>
    <t>Sutura atraumatica Polipropilen, USP 2,metric 5, cu ac 1/2, lungimea acului 40 mm, ac taios, lungimea atei 75 cm</t>
  </si>
  <si>
    <t>Polipropilen, USP 2/0 cu ac drept (necurbat)</t>
  </si>
  <si>
    <t>(echivalent cu Prolene), USP 2/0. 3 Metric. Monofilament, lungimea de 75 cm, ac înțepător (TAPERPOINT) drept (necurbat) 70 mm (echivalent codului W8400)</t>
  </si>
  <si>
    <t>POLYDIOXANONA USP 0, ac 48 mm</t>
  </si>
  <si>
    <t>Polydioxanone (PDS II). USP 1 (3,5 Metric) - minim 150 cm, fir dublu (looped on) ac ½ rotund CTX, 48mm ± 2%. corespunderea grosimii acului cu grosimea firului de sutură</t>
  </si>
  <si>
    <t>POLYDIOXANONA USP 1, ac 65 mm</t>
  </si>
  <si>
    <t>Polydioxanone (PDS II). USP 1 (4,0 Metric) - minim 244 cm, fir dublu (looped on) ac ½ rotund TP-1, 65mm ± 2%. corespunderea grosimii acului cu grosimea firului de sutură</t>
  </si>
  <si>
    <t>POLYDIOXANONA USP 4-0, ac 17 mm, echivalent cu tip V-LOC-90</t>
  </si>
  <si>
    <t>Sutură absorbabila PDO .tip V-LOC-90. USP 4-0; Lungimea suturii (cm) 25± 2%;; Lungimea acului (mm) 17 Curbura acului – ½ Taper;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</t>
  </si>
  <si>
    <t>Polyglactin 910 acoperită cu vicril</t>
  </si>
  <si>
    <t>Sutură sintetica absorbabilă Polyglactin 910 acoperită cu vicril , 7-0 0,5 m, TG 140-8, ac 6,5 mm 3/8 v tăietor, culoare violetă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</si>
</sst>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;[Red]0.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</cellStyleXfs>
  <cellXfs count="67">
    <xf numFmtId="0" fontId="0" fillId="0" borderId="0" xfId="0"/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9" fontId="0" fillId="0" borderId="2" xfId="1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9" fontId="0" fillId="0" borderId="2" xfId="1" applyNumberFormat="1" applyFont="1" applyBorder="1" applyAlignment="1">
      <alignment vertical="center"/>
    </xf>
    <xf numFmtId="39" fontId="0" fillId="0" borderId="1" xfId="1" applyNumberFormat="1" applyFont="1" applyBorder="1" applyAlignment="1">
      <alignment vertical="center"/>
    </xf>
    <xf numFmtId="0" fontId="0" fillId="4" borderId="1" xfId="0" applyFill="1" applyBorder="1"/>
    <xf numFmtId="39" fontId="0" fillId="0" borderId="1" xfId="1" applyNumberFormat="1" applyFont="1" applyFill="1" applyBorder="1" applyAlignment="1">
      <alignment vertical="center"/>
    </xf>
    <xf numFmtId="0" fontId="5" fillId="0" borderId="1" xfId="2" applyFont="1" applyBorder="1"/>
    <xf numFmtId="1" fontId="5" fillId="0" borderId="1" xfId="2" applyNumberFormat="1" applyFont="1" applyBorder="1"/>
    <xf numFmtId="1" fontId="5" fillId="0" borderId="1" xfId="3" applyNumberFormat="1" applyFont="1" applyBorder="1" applyAlignment="1">
      <alignment vertical="top" wrapText="1"/>
    </xf>
    <xf numFmtId="0" fontId="5" fillId="0" borderId="1" xfId="3" applyFont="1" applyBorder="1" applyAlignment="1">
      <alignment wrapText="1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39" fontId="5" fillId="0" borderId="1" xfId="1" applyNumberFormat="1" applyFont="1" applyBorder="1" applyAlignment="1">
      <alignment vertical="center"/>
    </xf>
    <xf numFmtId="0" fontId="5" fillId="0" borderId="0" xfId="2" applyFont="1"/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5" fillId="2" borderId="1" xfId="2" applyFont="1" applyFill="1" applyBorder="1"/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 wrapText="1"/>
    </xf>
    <xf numFmtId="164" fontId="5" fillId="0" borderId="1" xfId="2" applyNumberFormat="1" applyFont="1" applyBorder="1" applyAlignment="1" applyProtection="1">
      <alignment horizontal="center" vertical="center" wrapText="1"/>
      <protection hidden="1"/>
    </xf>
    <xf numFmtId="164" fontId="5" fillId="0" borderId="1" xfId="4" applyNumberFormat="1" applyFont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>
      <alignment horizontal="center" vertical="center" wrapText="1"/>
    </xf>
    <xf numFmtId="0" fontId="5" fillId="0" borderId="1" xfId="4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wrapText="1"/>
    </xf>
    <xf numFmtId="165" fontId="5" fillId="0" borderId="1" xfId="2" applyNumberFormat="1" applyFont="1" applyBorder="1" applyAlignment="1" applyProtection="1">
      <alignment horizontal="center" vertical="center" wrapText="1"/>
      <protection hidden="1"/>
    </xf>
    <xf numFmtId="0" fontId="5" fillId="4" borderId="1" xfId="4" applyFont="1" applyFill="1" applyBorder="1" applyAlignment="1" applyProtection="1">
      <alignment wrapText="1"/>
      <protection locked="0"/>
    </xf>
    <xf numFmtId="0" fontId="5" fillId="0" borderId="1" xfId="4" applyFont="1" applyBorder="1" applyAlignment="1" applyProtection="1">
      <alignment horizontal="left" wrapText="1"/>
      <protection locked="0"/>
    </xf>
    <xf numFmtId="0" fontId="5" fillId="0" borderId="1" xfId="2" applyFont="1" applyBorder="1" applyAlignment="1" applyProtection="1">
      <alignment wrapText="1"/>
      <protection hidden="1"/>
    </xf>
    <xf numFmtId="0" fontId="5" fillId="0" borderId="1" xfId="2" applyFont="1" applyBorder="1" applyAlignment="1" applyProtection="1">
      <alignment horizontal="left" vertical="center" wrapText="1"/>
      <protection hidden="1"/>
    </xf>
    <xf numFmtId="1" fontId="5" fillId="0" borderId="3" xfId="2" applyNumberFormat="1" applyFont="1" applyBorder="1"/>
    <xf numFmtId="1" fontId="5" fillId="0" borderId="3" xfId="3" applyNumberFormat="1" applyFont="1" applyBorder="1" applyAlignment="1">
      <alignment vertical="top" wrapText="1"/>
    </xf>
    <xf numFmtId="0" fontId="5" fillId="0" borderId="3" xfId="2" applyFont="1" applyBorder="1" applyAlignment="1">
      <alignment wrapText="1"/>
    </xf>
    <xf numFmtId="0" fontId="5" fillId="0" borderId="3" xfId="2" applyFont="1" applyBorder="1" applyAlignment="1">
      <alignment horizontal="left" vertical="top" wrapText="1"/>
    </xf>
    <xf numFmtId="0" fontId="5" fillId="0" borderId="3" xfId="3" applyFont="1" applyBorder="1" applyAlignment="1">
      <alignment horizontal="center" vertical="center" wrapText="1"/>
    </xf>
    <xf numFmtId="0" fontId="5" fillId="0" borderId="3" xfId="2" applyFont="1" applyBorder="1"/>
    <xf numFmtId="1" fontId="5" fillId="0" borderId="3" xfId="2" applyNumberFormat="1" applyFont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>
      <alignment horizontal="center" vertical="center" wrapText="1"/>
    </xf>
    <xf numFmtId="0" fontId="5" fillId="2" borderId="3" xfId="2" applyFont="1" applyFill="1" applyBorder="1"/>
    <xf numFmtId="0" fontId="5" fillId="0" borderId="3" xfId="2" applyFont="1" applyBorder="1" applyAlignment="1">
      <alignment vertical="center"/>
    </xf>
    <xf numFmtId="39" fontId="5" fillId="0" borderId="3" xfId="1" applyNumberFormat="1" applyFont="1" applyBorder="1" applyAlignment="1">
      <alignment vertical="center"/>
    </xf>
    <xf numFmtId="1" fontId="0" fillId="0" borderId="3" xfId="0" applyNumberFormat="1" applyBorder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vertical="center"/>
    </xf>
    <xf numFmtId="39" fontId="0" fillId="0" borderId="3" xfId="1" applyNumberFormat="1" applyFont="1" applyBorder="1" applyAlignment="1">
      <alignment vertical="center"/>
    </xf>
    <xf numFmtId="1" fontId="0" fillId="0" borderId="0" xfId="0" applyNumberFormat="1"/>
    <xf numFmtId="0" fontId="0" fillId="0" borderId="0" xfId="0" applyAlignment="1">
      <alignment vertical="center"/>
    </xf>
    <xf numFmtId="39" fontId="0" fillId="0" borderId="0" xfId="1" applyNumberFormat="1" applyFont="1" applyAlignment="1">
      <alignment vertical="center"/>
    </xf>
  </cellXfs>
  <cellStyles count="5">
    <cellStyle name="Comma" xfId="1" builtinId="3"/>
    <cellStyle name="Normal" xfId="0" builtinId="0"/>
    <cellStyle name="Normal 2" xfId="4" xr:uid="{CAC2C4D7-764B-4CB6-A874-68D573BB6D22}"/>
    <cellStyle name="Normal 2 2" xfId="3" xr:uid="{FA689BF9-199E-4446-80D8-DADB0E8D0E37}"/>
    <cellStyle name="Normal 3" xfId="2" xr:uid="{1C1BC861-A22D-4961-82AE-020A415896A9}"/>
  </cellStyles>
  <dxfs count="143">
    <dxf>
      <numFmt numFmtId="7" formatCode="#,##0.00_);\(#,##0.00\)"/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7" formatCode="#,##0.00_);\(#,##0.00\)"/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8F8AED-3FAA-44E4-89B7-51000819B5E5}" name="Table1" displayName="Table1" ref="B1:BS110" totalsRowCount="1" headerRowDxfId="142" headerRowBorderDxfId="140" tableBorderDxfId="141">
  <autoFilter ref="B1:BS109" xr:uid="{BB4B6BC0-E88D-4BBC-994C-77BA12FB9341}"/>
  <tableColumns count="70">
    <tableColumn id="1" xr3:uid="{9589A6AD-53BF-47A0-847F-A4413B1EB0FA}" name="Nr Lot Procedură I" dataDxfId="138" totalsRowDxfId="139"/>
    <tableColumn id="99" xr3:uid="{F3B29C1F-295A-4257-A1AD-16BECC440280}" name="Nr Lot Procedură II" dataDxfId="136" totalsRowDxfId="137"/>
    <tableColumn id="2" xr3:uid="{3890FF55-9234-4676-84D3-362C42A8F973}" name="Denumire Lot" dataDxfId="134" totalsRowDxfId="135"/>
    <tableColumn id="3" xr3:uid="{C7ECA791-02EE-49D3-B636-E5615989D981}" name="Specificația tehnică" dataDxfId="132" totalsRowDxfId="133"/>
    <tableColumn id="4" xr3:uid="{8431A400-8F24-484E-BCEB-0C5EBE527954}" name="Unitatea de măsură" dataDxfId="130" totalsRowDxfId="131"/>
    <tableColumn id="5" xr3:uid="{FAE2166E-97A8-4B19-9CC8-3CFF1144C429}" name="Preț estimat cu TVA" dataDxfId="128" totalsRowDxfId="129"/>
    <tableColumn id="6" xr3:uid="{71B80282-EAA8-4CC3-804B-A60E9C2B8156}" name="ADMINISTRATIA NATIONALA A PENITENCIARELOR" totalsRowFunction="sum" dataDxfId="126" totalsRowDxfId="127"/>
    <tableColumn id="7" xr3:uid="{210D1A4F-0E6E-44DD-AD2D-8399DF6A18A1}" name="CABINETUL INDIVIDUAL AL MEDICULUI DE FAMILIE CORCODEL GEORGETA" totalsRowFunction="sum" dataDxfId="124" totalsRowDxfId="125"/>
    <tableColumn id="8" xr3:uid="{AF1A223E-20EF-4D3C-BE4B-E6D9AD355DF3}" name="CABINETUL INDIVIDUAL AL MEDICULUI DE FAMILIE PLESCA ELENA" totalsRowFunction="sum" dataDxfId="122" totalsRowDxfId="123"/>
    <tableColumn id="9" xr3:uid="{EE8E88EF-DC28-4285-900F-6D7C294E6A00}" name="CENTRUL DE PLASAMENT TEMPORAR PENTRU PERSOANE CU DIZABILITATI MUN ORHEI" totalsRowFunction="sum" dataDxfId="120" totalsRowDxfId="121"/>
    <tableColumn id="10" xr3:uid="{23A31E4A-3F0A-4A1F-BA21-19AAB05D492C}" name="IM CENTRUL STOMATOLOGIC RAIONAL CIMISLIA" totalsRowFunction="sum" dataDxfId="118" totalsRowDxfId="119"/>
    <tableColumn id="16" xr3:uid="{CFEA98CE-B1E5-4AB8-8FE2-95CB3B342AF8}" name="IMSP ASOCIATIA MEDICALA TERITORIALA BUIUCANI" totalsRowFunction="sum" dataDxfId="116" totalsRowDxfId="117"/>
    <tableColumn id="17" xr3:uid="{4AD7B61C-3F0A-40A7-A322-34B09EB9BDE6}" name="IMSP ASOCIATIA MEDICALA TERITORIALA CENTRU" totalsRowFunction="sum" dataDxfId="114" totalsRowDxfId="115"/>
    <tableColumn id="18" xr3:uid="{E02A6828-4CBF-42D3-BB9E-0EDBD14B2A94}" name="IMSP ASOCIATIA MEDICALA TERITORIALA CIOCANA" totalsRowFunction="sum" dataDxfId="112" totalsRowDxfId="113"/>
    <tableColumn id="19" xr3:uid="{7C7EE4C4-586B-4AEF-A1C9-B6F1DAC568A3}" name="IMSP ASOCIATIA MEDICALA TERITORIALA RASCANI" totalsRowFunction="sum" dataDxfId="110" totalsRowDxfId="111"/>
    <tableColumn id="20" xr3:uid="{0594A3B3-FAD8-4BEC-A9CB-A7FFC9E08A44}" name="IMSP CENTRUL DE SANATATE CAZANESTI" totalsRowFunction="sum" dataDxfId="108" totalsRowDxfId="109"/>
    <tableColumn id="21" xr3:uid="{31AF7A7E-C673-4A4A-A370-070A4E6254A4}" name="IMSP CENTRUL DE SANATATE PEPENI" totalsRowFunction="sum" dataDxfId="106" totalsRowDxfId="107"/>
    <tableColumn id="23" xr3:uid="{653639E7-C42F-4622-9F7C-7C2F37B100C4}" name="IMSP INSTITUTUL DE CARDIOLOGIE" totalsRowFunction="sum" dataDxfId="104" totalsRowDxfId="105"/>
    <tableColumn id="25" xr3:uid="{9FD615D2-1DBA-40EB-A3B8-48C3FFD71477}" name="IMSP INSTITUTUL DE MEDICINA URGENTA" totalsRowFunction="sum" dataDxfId="102" totalsRowDxfId="103"/>
    <tableColumn id="26" xr3:uid="{C5602A99-0B18-4000-90CE-B270579C87DC}" name="IMSP INSTITUTUL DE NEUROLOGIE SI NEUROCHIRURGIE DIOMID GHERMAN" totalsRowFunction="sum" dataDxfId="100" totalsRowDxfId="101"/>
    <tableColumn id="27" xr3:uid="{244B58CB-B7B0-4E1C-92C5-52D2068FDC34}" name="IMSP INSTITUTUL MAMEI SI COPILULUI" totalsRowFunction="sum" dataDxfId="98" totalsRowDxfId="99"/>
    <tableColumn id="28" xr3:uid="{6CC7B62C-CCD6-4A21-900C-846B5D1C02FB}" name="IMSP INSTITUTUL ONCOLOGIC" totalsRowFunction="sum" dataDxfId="96" totalsRowDxfId="97"/>
    <tableColumn id="30" xr3:uid="{3CF490D0-038E-4F0B-9B84-0E8FBF87116C}" name="IMSP POLICLINICA STOMATOLOGICA REPUBLICANA" totalsRowFunction="sum" dataDxfId="94" totalsRowDxfId="95"/>
    <tableColumn id="31" xr3:uid="{2886D249-8021-445C-8050-3FD39D3A37D9}" name="IMSP SPITALUL CLINIC AL MINISTERULUI SANATATII" totalsRowFunction="sum" dataDxfId="92" totalsRowDxfId="93"/>
    <tableColumn id="32" xr3:uid="{F0ADADFC-E5D9-4301-8BE2-829EA2EF6418}" name="IMSP SPITALUL CLINIC BALTI" totalsRowFunction="sum" dataDxfId="90" totalsRowDxfId="91"/>
    <tableColumn id="33" xr3:uid="{6CB25AD3-39E7-448A-B2E3-7BB39B6D580B}" name="IMSP SPITALUL CLINIC MUNICIPAL DE COPII V IGNATENCO" totalsRowFunction="sum" dataDxfId="88" totalsRowDxfId="89"/>
    <tableColumn id="35" xr3:uid="{2B0B0CD8-EBBB-489B-A901-1EF8093DA08F}" name="IMSP SPITALUL CLINIC MUNICIPAL GHEORGHE PALADI" totalsRowFunction="sum" dataDxfId="86" totalsRowDxfId="87"/>
    <tableColumn id="36" xr3:uid="{7BF426CB-E4B6-41C1-8019-FCE5C434961C}" name="IMSP SPITALUL CLINIC MUNICIPAL SFANTA TREIME" totalsRowFunction="sum" dataDxfId="84" totalsRowDxfId="85"/>
    <tableColumn id="37" xr3:uid="{EF2BBD48-D424-4A52-9C44-2AF58B11198D}" name="IMSP SPITALUL CLINIC MUNICIPAL SFANTUL ARHANGHEL MIHAIL" totalsRowFunction="sum" dataDxfId="82" totalsRowDxfId="83"/>
    <tableColumn id="38" xr3:uid="{C327F000-A7F1-4E88-B832-CC6CEE44B9BE}" name="IMSP SPITALUL CLINIC REPUBLICAN TIMOFEI MOSNEAGA" totalsRowFunction="sum" dataDxfId="80" totalsRowDxfId="81"/>
    <tableColumn id="39" xr3:uid="{DAB7E818-B899-45FD-B144-ECB347A2A21B}" name="IMSP SPITALUL DE STAT" totalsRowFunction="sum" dataDxfId="78" totalsRowDxfId="79"/>
    <tableColumn id="40" xr3:uid="{EC093205-DF76-4014-8F28-4642DC309DF0}" name="IMSP SPITALUL RAIONAL ANENII NOI" totalsRowFunction="sum" dataDxfId="76" totalsRowDxfId="77"/>
    <tableColumn id="41" xr3:uid="{5B32B8DB-05EC-4B14-87C0-42B473E291AB}" name="IMSP SPITALUL RAIONAL BASARABEASCA" totalsRowFunction="sum" dataDxfId="74" totalsRowDxfId="75"/>
    <tableColumn id="42" xr3:uid="{FEB9706E-893B-4F3E-872D-61884ECD153E}" name="IMSP SPITALUL RAIONAL BRICENI" totalsRowFunction="sum" dataDxfId="72" totalsRowDxfId="73"/>
    <tableColumn id="43" xr3:uid="{B3FAC2B5-C2BC-4810-8F8E-F12B44542991}" name="IMSP SPITALUL RAIONAL CAHUL" totalsRowFunction="sum" dataDxfId="70" totalsRowDxfId="71"/>
    <tableColumn id="44" xr3:uid="{CE42A501-DD59-4AE4-98A4-30A3E397EA7E}" name="IMSP SPITALUL RAIONAL CALARASI" totalsRowFunction="sum" dataDxfId="68" totalsRowDxfId="69"/>
    <tableColumn id="45" xr3:uid="{B5512517-B7F7-4EE7-B424-A5318B1BA86B}" name="IMSP SPITALUL RAIONAL CANTEMIR" totalsRowFunction="sum" dataDxfId="66" totalsRowDxfId="67"/>
    <tableColumn id="46" xr3:uid="{A7E47CD3-572F-44FA-A435-98EBD4676A71}" name="IMSP SPITALUL RAIONAL CAUSENI ANA SI ALEXANDRU" totalsRowFunction="sum" dataDxfId="64" totalsRowDxfId="65"/>
    <tableColumn id="47" xr3:uid="{5E2FE9B8-2752-4F84-8768-F93362959571}" name="IMSP SPITALUL RAIONAL CEADIR-LUNGA" totalsRowFunction="sum" dataDxfId="62" totalsRowDxfId="63"/>
    <tableColumn id="48" xr3:uid="{C00D4E8A-5369-4676-98A7-C8D8DF9ADAAC}" name="IMSP SPITALUL RAIONAL CIMISLIA" totalsRowFunction="sum" dataDxfId="60" totalsRowDxfId="61"/>
    <tableColumn id="49" xr3:uid="{E7F72AF8-5DA2-4A88-8148-24EC2D886560}" name="IMSP SPITALUL RAIONAL COMRAT ISAAC GURFINCHEL" totalsRowFunction="sum" dataDxfId="58" totalsRowDxfId="59"/>
    <tableColumn id="50" xr3:uid="{B4D833D4-A08B-4C4D-B2D9-5B41B1C474DF}" name="IMSP SPITALUL RAIONAL CRIULENI" totalsRowFunction="sum" dataDxfId="56" totalsRowDxfId="57"/>
    <tableColumn id="51" xr3:uid="{4E9D1D04-4549-44C3-97A4-0D9E9AA1C577}" name="IMSP SPITALUL RAIONAL DONDUSENI" totalsRowFunction="sum" dataDxfId="54" totalsRowDxfId="55"/>
    <tableColumn id="52" xr3:uid="{24FBBB91-F0B3-44A8-810B-0BFFBCC62C97}" name="IMSP SPITALUL RAIONAL DROCHIA NICOLAE TESTEMITANU" totalsRowFunction="sum" dataDxfId="52" totalsRowDxfId="53"/>
    <tableColumn id="53" xr3:uid="{4E7A2FE4-A945-44CB-B99E-D46EB12FCDA0}" name="IMSP SPITALUL RAIONAL EDINET" totalsRowFunction="sum" dataDxfId="50" totalsRowDxfId="51"/>
    <tableColumn id="54" xr3:uid="{08801EE3-54B8-4100-B088-57C27E5C55F7}" name="IMSP SPITALUL RAIONAL FALESTI" totalsRowFunction="sum" dataDxfId="48" totalsRowDxfId="49"/>
    <tableColumn id="55" xr3:uid="{851A5C66-E2C4-4924-8B11-8B0B0E01B972}" name="IMSP SPITALUL RAIONAL FLORESTI" totalsRowFunction="sum" dataDxfId="46" totalsRowDxfId="47"/>
    <tableColumn id="56" xr3:uid="{D11D6644-61F3-46DE-A4A6-F848D00E4DBE}" name="IMSP SPITALUL RAIONAL GLODENI" totalsRowFunction="sum" dataDxfId="44" totalsRowDxfId="45"/>
    <tableColumn id="57" xr3:uid="{1238C0B3-FD0C-4527-901B-C9D917F5F287}" name="IMSP SPITALUL RAIONAL HANCESTI" totalsRowFunction="sum" dataDxfId="42" totalsRowDxfId="43"/>
    <tableColumn id="58" xr3:uid="{E607A7CA-05F3-420F-A396-B59E52259EC7}" name="IMSP SPITALUL RAIONAL IALOVENI" totalsRowFunction="sum" dataDxfId="40" totalsRowDxfId="41"/>
    <tableColumn id="59" xr3:uid="{772EB58B-94AF-4030-8807-B091180AEF46}" name="IMSP SPITALUL RAIONAL LEOVA" totalsRowFunction="sum" dataDxfId="38" totalsRowDxfId="39"/>
    <tableColumn id="60" xr3:uid="{3EE1BDA0-2CB8-4504-B49E-BABF98E3EB8C}" name="IMSP SPITALUL RAIONAL NISPORENI" totalsRowFunction="sum" dataDxfId="36" totalsRowDxfId="37"/>
    <tableColumn id="62" xr3:uid="{3AF6A904-2941-4752-8FF2-C026DCECA8DB}" name="IMSP SPITALUL RAIONAL ORHEI" totalsRowFunction="sum" dataDxfId="34" totalsRowDxfId="35"/>
    <tableColumn id="63" xr3:uid="{17E32C64-A2D2-4937-A92F-CEDD7699BFC6}" name="IMSP SPITALUL RAIONAL RASCANI" totalsRowFunction="sum" dataDxfId="32" totalsRowDxfId="33"/>
    <tableColumn id="64" xr3:uid="{3F788532-8ABD-4618-84DD-38E1C7FDD3D6}" name="IMSP SPITALUL RAIONAL REZINA" totalsRowFunction="sum" dataDxfId="30" totalsRowDxfId="31"/>
    <tableColumn id="65" xr3:uid="{7426C4A7-401A-430E-9DA3-E55A124E00B7}" name="IMSP SPITALUL RAIONAL SANGEREI" totalsRowFunction="sum" dataDxfId="28" totalsRowDxfId="29"/>
    <tableColumn id="66" xr3:uid="{63291192-1274-43A2-BED8-2653D38C7D0A}" name="IMSP SPITALUL RAIONAL SOLDANESTI" totalsRowFunction="sum" dataDxfId="26" totalsRowDxfId="27"/>
    <tableColumn id="67" xr3:uid="{D99B578C-C259-4ACB-9D16-4E77740B3E94}" name="IMSP SPITALUL RAIONAL SOROCA A PRISACARI" totalsRowFunction="sum" dataDxfId="24" totalsRowDxfId="25"/>
    <tableColumn id="68" xr3:uid="{970A6716-0147-4382-9B37-F12AC1EE3471}" name="IMSP SPITALUL RAIONAL STEFAN VODA" totalsRowFunction="sum" dataDxfId="22" totalsRowDxfId="23"/>
    <tableColumn id="69" xr3:uid="{5992559D-40DA-4356-AF00-621818C113E2}" name="IMSP SPITALUL RAIONAL STRASENI" totalsRowFunction="sum" dataDxfId="20" totalsRowDxfId="21"/>
    <tableColumn id="70" xr3:uid="{141B245E-75BD-4DC9-821C-1D2ACA3A016B}" name="IMSP SPITALUL RAIONAL TARACLIA" totalsRowFunction="sum" dataDxfId="18" totalsRowDxfId="19"/>
    <tableColumn id="72" xr3:uid="{B8A7D1C8-FE9A-404B-AC0C-D83A983FB447}" name="IMSP SPITALUL RAIONAL UNGHENI" totalsRowFunction="sum" dataDxfId="16" totalsRowDxfId="17"/>
    <tableColumn id="73" xr3:uid="{FD2BC4BC-6AED-4D69-9565-724CDBEAC013}" name="IMSP SPITALUL RAIONAL VULCANESTI" totalsRowFunction="sum" dataDxfId="14" totalsRowDxfId="15"/>
    <tableColumn id="74" xr3:uid="{7F1103A1-B8E2-45CC-A7A3-CB40B2750964}" name="IP STOMATOLOGIE COMRAT" totalsRowFunction="sum" dataDxfId="12" totalsRowDxfId="13"/>
    <tableColumn id="76" xr3:uid="{5DEA4B15-83E1-4E18-8DAC-B6580BCD0550}" name="SERVICIUL MEDICAL AL MINISTERULUI AFACERILOR INTERNE" totalsRowFunction="sum" dataDxfId="10" totalsRowDxfId="11"/>
    <tableColumn id="77" xr3:uid="{5F520634-F2AC-422D-8E19-DEBC9BB695DA}" name="SPITALUL CLINIC MILITAR CENTRAL" totalsRowFunction="sum" dataDxfId="8" totalsRowDxfId="9"/>
    <tableColumn id="78" xr3:uid="{1B73F537-8EEF-4FC1-BCC2-84872DD2080D}" name="Grand Total" dataDxfId="6" totalsRowDxfId="7"/>
    <tableColumn id="100" xr3:uid="{4CB14CC8-29A2-4435-BF8C-9719292C9B75}" name="Suma cu TVA" dataDxfId="4" totalsRowDxfId="5">
      <calculatedColumnFormula>Table1[[#This Row],[Grand Total]]*Table1[[#This Row],[Preț estimat cu TVA]]</calculatedColumnFormula>
    </tableColumn>
    <tableColumn id="101" xr3:uid="{5B4687C9-5566-42A6-8D78-202EC6831151}" name="Valoarea fără TVA" dataDxfId="2" totalsRowDxfId="3">
      <calculatedColumnFormula>Table1[[#This Row],[Suma cu TVA]]/1.2</calculatedColumnFormula>
    </tableColumn>
    <tableColumn id="102" xr3:uid="{23E2CA07-FA90-41C3-86BB-C0681D49988E}" name="Valoarea Estimată" totalsRowFunction="sum" dataDxfId="0" totalsRowDxfId="1" dataCellStyle="Comma" totalsRowCellStyle="Comma">
      <calculatedColumnFormula>ROUNDUP(Table1[[#This Row],[Valoarea fără TVA]],2)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DD39-111E-47AB-B5A0-64AE3D84D6FC}">
  <sheetPr>
    <tabColor rgb="FFFFFF00"/>
  </sheetPr>
  <dimension ref="A1:BS110"/>
  <sheetViews>
    <sheetView tabSelected="1" topLeftCell="C1" workbookViewId="0">
      <pane ySplit="1" topLeftCell="A103" activePane="bottomLeft" state="frozen"/>
      <selection pane="bottomLeft" activeCell="BQ1" sqref="BQ1:BS1048576"/>
    </sheetView>
  </sheetViews>
  <sheetFormatPr defaultColWidth="16.5703125" defaultRowHeight="27" customHeight="1" x14ac:dyDescent="0.25"/>
  <cols>
    <col min="1" max="1" width="0" hidden="1" customWidth="1"/>
    <col min="2" max="2" width="0" style="64" hidden="1" customWidth="1"/>
    <col min="3" max="3" width="10.140625" style="64" customWidth="1"/>
    <col min="4" max="4" width="16.5703125" style="7"/>
    <col min="5" max="5" width="22.85546875" style="7" hidden="1" customWidth="1"/>
    <col min="6" max="6" width="10.7109375" customWidth="1"/>
    <col min="7" max="7" width="16.5703125" hidden="1" customWidth="1"/>
    <col min="8" max="67" width="16.5703125" customWidth="1"/>
    <col min="68" max="68" width="16.5703125" style="65"/>
    <col min="69" max="70" width="16.5703125" style="65" hidden="1" customWidth="1"/>
    <col min="71" max="71" width="0" style="66" hidden="1" customWidth="1"/>
  </cols>
  <sheetData>
    <row r="1" spans="1:71" s="7" customFormat="1" ht="10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5" t="s">
        <v>67</v>
      </c>
      <c r="BQ1" s="5" t="s">
        <v>68</v>
      </c>
      <c r="BR1" s="5" t="s">
        <v>69</v>
      </c>
      <c r="BS1" s="6" t="s">
        <v>70</v>
      </c>
    </row>
    <row r="2" spans="1:71" ht="27" customHeight="1" x14ac:dyDescent="0.25">
      <c r="A2" s="8">
        <v>58</v>
      </c>
      <c r="B2" s="9">
        <v>58</v>
      </c>
      <c r="C2" s="9">
        <v>1</v>
      </c>
      <c r="D2" s="10" t="s">
        <v>71</v>
      </c>
      <c r="E2" s="1" t="s">
        <v>72</v>
      </c>
      <c r="F2" s="8" t="s">
        <v>73</v>
      </c>
      <c r="G2" s="8">
        <v>82.733314917127075</v>
      </c>
      <c r="H2" s="8">
        <v>0</v>
      </c>
      <c r="I2" s="8"/>
      <c r="J2" s="8"/>
      <c r="K2" s="8"/>
      <c r="L2" s="8"/>
      <c r="M2" s="8"/>
      <c r="N2" s="8"/>
      <c r="O2" s="8"/>
      <c r="P2" s="8"/>
      <c r="Q2" s="8"/>
      <c r="R2" s="8"/>
      <c r="S2" s="8">
        <v>0</v>
      </c>
      <c r="T2" s="8"/>
      <c r="U2" s="8"/>
      <c r="V2" s="11">
        <v>804</v>
      </c>
      <c r="W2" s="8"/>
      <c r="X2" s="8"/>
      <c r="Y2" s="8"/>
      <c r="Z2" s="8">
        <v>0</v>
      </c>
      <c r="AA2" s="8">
        <v>300</v>
      </c>
      <c r="AB2" s="11">
        <v>48</v>
      </c>
      <c r="AC2" s="12">
        <v>60</v>
      </c>
      <c r="AD2" s="8"/>
      <c r="AE2" s="8">
        <v>192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>
        <v>0</v>
      </c>
      <c r="AZ2" s="8"/>
      <c r="BA2" s="8"/>
      <c r="BB2" s="8"/>
      <c r="BC2" s="8"/>
      <c r="BD2" s="8"/>
      <c r="BE2" s="8"/>
      <c r="BF2" s="8"/>
      <c r="BG2" s="8">
        <v>0</v>
      </c>
      <c r="BH2" s="8"/>
      <c r="BI2" s="8"/>
      <c r="BJ2" s="8"/>
      <c r="BK2" s="8"/>
      <c r="BL2" s="8"/>
      <c r="BM2" s="8"/>
      <c r="BN2" s="8">
        <v>0</v>
      </c>
      <c r="BO2" s="8"/>
      <c r="BP2" s="13">
        <f>SUM(H2:BO2)</f>
        <v>1404</v>
      </c>
      <c r="BQ2" s="14">
        <f>Table1[[#This Row],[Grand Total]]*Table1[[#This Row],[Preț estimat cu TVA]]</f>
        <v>116157.57414364642</v>
      </c>
      <c r="BR2" s="14">
        <f>Table1[[#This Row],[Suma cu TVA]]/1.2</f>
        <v>96797.978453038682</v>
      </c>
      <c r="BS2" s="15">
        <f>ROUNDUP(Table1[[#This Row],[Valoarea fără TVA]],2)</f>
        <v>96797.98</v>
      </c>
    </row>
    <row r="3" spans="1:71" ht="27" customHeight="1" x14ac:dyDescent="0.25">
      <c r="A3" s="8">
        <v>59</v>
      </c>
      <c r="B3" s="9">
        <v>59</v>
      </c>
      <c r="C3" s="9">
        <v>2</v>
      </c>
      <c r="D3" s="10" t="s">
        <v>74</v>
      </c>
      <c r="E3" s="1" t="s">
        <v>75</v>
      </c>
      <c r="F3" s="8" t="s">
        <v>73</v>
      </c>
      <c r="G3" s="8">
        <v>82.733308270676702</v>
      </c>
      <c r="H3" s="8">
        <v>0</v>
      </c>
      <c r="I3" s="8"/>
      <c r="J3" s="8"/>
      <c r="K3" s="8"/>
      <c r="L3" s="8"/>
      <c r="M3" s="8"/>
      <c r="N3" s="8"/>
      <c r="O3" s="8"/>
      <c r="P3" s="8"/>
      <c r="Q3" s="8"/>
      <c r="R3" s="8"/>
      <c r="S3" s="8">
        <v>0</v>
      </c>
      <c r="T3" s="8"/>
      <c r="U3" s="8"/>
      <c r="V3" s="11">
        <v>204</v>
      </c>
      <c r="W3" s="8"/>
      <c r="X3" s="8"/>
      <c r="Y3" s="8"/>
      <c r="Z3" s="8">
        <v>0</v>
      </c>
      <c r="AA3" s="8"/>
      <c r="AB3" s="8">
        <v>0</v>
      </c>
      <c r="AC3" s="12">
        <v>60</v>
      </c>
      <c r="AD3" s="8"/>
      <c r="AE3" s="8">
        <v>192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>
        <v>0</v>
      </c>
      <c r="AZ3" s="8"/>
      <c r="BA3" s="8"/>
      <c r="BB3" s="8"/>
      <c r="BC3" s="8"/>
      <c r="BD3" s="8"/>
      <c r="BE3" s="8"/>
      <c r="BF3" s="8"/>
      <c r="BG3" s="8">
        <v>0</v>
      </c>
      <c r="BH3" s="8"/>
      <c r="BI3" s="8"/>
      <c r="BJ3" s="8"/>
      <c r="BK3" s="8"/>
      <c r="BL3" s="8"/>
      <c r="BM3" s="8"/>
      <c r="BN3" s="8">
        <v>0</v>
      </c>
      <c r="BO3" s="8"/>
      <c r="BP3" s="13">
        <f t="shared" ref="BP3:BP6" si="0">SUM(H3:BO3)</f>
        <v>456</v>
      </c>
      <c r="BQ3" s="13">
        <f>Table1[[#This Row],[Grand Total]]*Table1[[#This Row],[Preț estimat cu TVA]]</f>
        <v>37726.388571428579</v>
      </c>
      <c r="BR3" s="13">
        <f>Table1[[#This Row],[Suma cu TVA]]/1.2</f>
        <v>31438.657142857151</v>
      </c>
      <c r="BS3" s="16">
        <f>ROUNDUP(Table1[[#This Row],[Valoarea fără TVA]],2)</f>
        <v>31438.66</v>
      </c>
    </row>
    <row r="4" spans="1:71" ht="27" customHeight="1" x14ac:dyDescent="0.25">
      <c r="A4" s="8">
        <v>61</v>
      </c>
      <c r="B4" s="9">
        <v>61</v>
      </c>
      <c r="C4" s="9">
        <v>3</v>
      </c>
      <c r="D4" s="10" t="s">
        <v>76</v>
      </c>
      <c r="E4" s="1" t="s">
        <v>77</v>
      </c>
      <c r="F4" s="8" t="s">
        <v>78</v>
      </c>
      <c r="G4" s="8">
        <v>981.3</v>
      </c>
      <c r="H4" s="8">
        <v>0</v>
      </c>
      <c r="I4" s="8"/>
      <c r="J4" s="8"/>
      <c r="K4" s="8">
        <v>1</v>
      </c>
      <c r="L4" s="8"/>
      <c r="M4" s="8"/>
      <c r="N4" s="8"/>
      <c r="O4" s="8"/>
      <c r="P4" s="8"/>
      <c r="Q4" s="8"/>
      <c r="R4" s="8"/>
      <c r="S4" s="8">
        <v>0</v>
      </c>
      <c r="T4" s="8"/>
      <c r="U4" s="8"/>
      <c r="V4" s="8">
        <v>0</v>
      </c>
      <c r="W4" s="8">
        <v>10</v>
      </c>
      <c r="X4" s="8"/>
      <c r="Y4" s="8"/>
      <c r="Z4" s="8">
        <v>0</v>
      </c>
      <c r="AA4" s="8"/>
      <c r="AB4" s="8">
        <v>0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>
        <v>0</v>
      </c>
      <c r="AZ4" s="8"/>
      <c r="BA4" s="8"/>
      <c r="BB4" s="8"/>
      <c r="BC4" s="8"/>
      <c r="BD4" s="8"/>
      <c r="BE4" s="8"/>
      <c r="BF4" s="8"/>
      <c r="BG4" s="8">
        <v>0</v>
      </c>
      <c r="BH4" s="8"/>
      <c r="BI4" s="8"/>
      <c r="BJ4" s="8"/>
      <c r="BK4" s="8"/>
      <c r="BL4" s="8"/>
      <c r="BM4" s="8"/>
      <c r="BN4" s="8">
        <v>0</v>
      </c>
      <c r="BO4" s="8"/>
      <c r="BP4" s="13">
        <f t="shared" si="0"/>
        <v>11</v>
      </c>
      <c r="BQ4" s="13">
        <f>Table1[[#This Row],[Grand Total]]*Table1[[#This Row],[Preț estimat cu TVA]]</f>
        <v>10794.3</v>
      </c>
      <c r="BR4" s="13">
        <f>Table1[[#This Row],[Suma cu TVA]]/1.2</f>
        <v>8995.25</v>
      </c>
      <c r="BS4" s="16">
        <f>ROUNDUP(Table1[[#This Row],[Valoarea fără TVA]],2)</f>
        <v>8995.25</v>
      </c>
    </row>
    <row r="5" spans="1:71" ht="27" customHeight="1" x14ac:dyDescent="0.25">
      <c r="A5" s="8">
        <v>64</v>
      </c>
      <c r="B5" s="9">
        <v>64</v>
      </c>
      <c r="C5" s="9">
        <v>4</v>
      </c>
      <c r="D5" s="10" t="s">
        <v>79</v>
      </c>
      <c r="E5" s="1" t="s">
        <v>80</v>
      </c>
      <c r="F5" s="8" t="s">
        <v>73</v>
      </c>
      <c r="G5" s="8">
        <v>24.24</v>
      </c>
      <c r="H5" s="8">
        <v>10</v>
      </c>
      <c r="I5" s="8"/>
      <c r="J5" s="8"/>
      <c r="K5" s="8"/>
      <c r="L5" s="8"/>
      <c r="M5" s="8"/>
      <c r="N5" s="8"/>
      <c r="O5" s="8"/>
      <c r="P5" s="8"/>
      <c r="Q5" s="8"/>
      <c r="R5" s="8"/>
      <c r="S5" s="8">
        <v>0</v>
      </c>
      <c r="T5" s="8"/>
      <c r="U5" s="8">
        <v>200</v>
      </c>
      <c r="V5" s="8">
        <v>600</v>
      </c>
      <c r="W5" s="8"/>
      <c r="X5" s="8"/>
      <c r="Y5" s="8"/>
      <c r="Z5" s="8">
        <v>600</v>
      </c>
      <c r="AA5" s="8"/>
      <c r="AB5" s="8">
        <v>2000</v>
      </c>
      <c r="AC5" s="8">
        <v>500</v>
      </c>
      <c r="AD5" s="8">
        <v>500</v>
      </c>
      <c r="AE5" s="8">
        <v>70</v>
      </c>
      <c r="AF5" s="8">
        <v>108</v>
      </c>
      <c r="AG5" s="8"/>
      <c r="AH5" s="8"/>
      <c r="AI5" s="8"/>
      <c r="AJ5" s="8">
        <v>4</v>
      </c>
      <c r="AK5" s="8"/>
      <c r="AL5" s="8">
        <v>80</v>
      </c>
      <c r="AM5" s="8"/>
      <c r="AN5" s="8"/>
      <c r="AO5" s="8"/>
      <c r="AP5" s="8"/>
      <c r="AQ5" s="8">
        <v>12</v>
      </c>
      <c r="AR5" s="8"/>
      <c r="AS5" s="8">
        <v>12</v>
      </c>
      <c r="AT5" s="8"/>
      <c r="AU5" s="8"/>
      <c r="AV5" s="8"/>
      <c r="AW5" s="8"/>
      <c r="AX5" s="8">
        <v>30</v>
      </c>
      <c r="AY5" s="8">
        <v>0</v>
      </c>
      <c r="AZ5" s="8">
        <v>48</v>
      </c>
      <c r="BA5" s="8">
        <v>36</v>
      </c>
      <c r="BB5" s="8">
        <v>200</v>
      </c>
      <c r="BC5" s="8"/>
      <c r="BD5" s="8">
        <v>100</v>
      </c>
      <c r="BE5" s="8"/>
      <c r="BF5" s="8"/>
      <c r="BG5" s="8">
        <v>480</v>
      </c>
      <c r="BH5" s="8"/>
      <c r="BI5" s="8">
        <v>100</v>
      </c>
      <c r="BJ5" s="8">
        <v>5</v>
      </c>
      <c r="BK5" s="8"/>
      <c r="BL5" s="8"/>
      <c r="BM5" s="8"/>
      <c r="BN5" s="8">
        <v>0</v>
      </c>
      <c r="BO5" s="8"/>
      <c r="BP5" s="13">
        <f t="shared" si="0"/>
        <v>5695</v>
      </c>
      <c r="BQ5" s="13">
        <f>Table1[[#This Row],[Grand Total]]*Table1[[#This Row],[Preț estimat cu TVA]]</f>
        <v>138046.79999999999</v>
      </c>
      <c r="BR5" s="13">
        <f>Table1[[#This Row],[Suma cu TVA]]/1.2</f>
        <v>115039</v>
      </c>
      <c r="BS5" s="16">
        <f>ROUNDUP(Table1[[#This Row],[Valoarea fără TVA]],2)</f>
        <v>115039</v>
      </c>
    </row>
    <row r="6" spans="1:71" ht="27" customHeight="1" x14ac:dyDescent="0.25">
      <c r="A6" s="8">
        <v>67</v>
      </c>
      <c r="B6" s="9">
        <v>67</v>
      </c>
      <c r="C6" s="9">
        <v>5</v>
      </c>
      <c r="D6" s="10" t="s">
        <v>81</v>
      </c>
      <c r="E6" s="1" t="s">
        <v>82</v>
      </c>
      <c r="F6" s="8" t="s">
        <v>73</v>
      </c>
      <c r="G6" s="8">
        <v>6.75</v>
      </c>
      <c r="H6" s="8">
        <v>0</v>
      </c>
      <c r="I6" s="8"/>
      <c r="J6" s="8"/>
      <c r="K6" s="8"/>
      <c r="L6" s="8"/>
      <c r="M6" s="8"/>
      <c r="N6" s="8">
        <v>120</v>
      </c>
      <c r="O6" s="11">
        <v>48</v>
      </c>
      <c r="P6" s="11">
        <v>12</v>
      </c>
      <c r="Q6" s="11">
        <v>12</v>
      </c>
      <c r="R6" s="8"/>
      <c r="S6" s="8">
        <v>0</v>
      </c>
      <c r="T6" s="8"/>
      <c r="U6" s="8"/>
      <c r="V6" s="11">
        <v>996</v>
      </c>
      <c r="W6" s="8"/>
      <c r="X6" s="8"/>
      <c r="Y6" s="8"/>
      <c r="Z6" s="8">
        <v>600</v>
      </c>
      <c r="AA6" s="8"/>
      <c r="AB6" s="11">
        <v>804</v>
      </c>
      <c r="AC6" s="11">
        <v>504</v>
      </c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>
        <v>24</v>
      </c>
      <c r="AQ6" s="8">
        <v>24</v>
      </c>
      <c r="AR6" s="8"/>
      <c r="AS6" s="8"/>
      <c r="AT6" s="8"/>
      <c r="AU6" s="8"/>
      <c r="AV6" s="8"/>
      <c r="AW6" s="8"/>
      <c r="AX6" s="8"/>
      <c r="AY6" s="8">
        <v>0</v>
      </c>
      <c r="AZ6" s="8"/>
      <c r="BA6" s="8"/>
      <c r="BB6" s="8"/>
      <c r="BC6" s="8"/>
      <c r="BD6" s="8"/>
      <c r="BE6" s="8"/>
      <c r="BF6" s="8"/>
      <c r="BG6" s="8">
        <v>0</v>
      </c>
      <c r="BH6" s="11">
        <v>132</v>
      </c>
      <c r="BI6" s="8"/>
      <c r="BJ6" s="8"/>
      <c r="BK6" s="8"/>
      <c r="BL6" s="8"/>
      <c r="BM6" s="8"/>
      <c r="BN6" s="8">
        <v>0</v>
      </c>
      <c r="BO6" s="8"/>
      <c r="BP6" s="13">
        <f>SUM(H6:BO6)</f>
        <v>3276</v>
      </c>
      <c r="BQ6" s="13">
        <f>Table1[[#This Row],[Grand Total]]*Table1[[#This Row],[Preț estimat cu TVA]]</f>
        <v>22113</v>
      </c>
      <c r="BR6" s="13">
        <f>Table1[[#This Row],[Suma cu TVA]]/1.2</f>
        <v>18427.5</v>
      </c>
      <c r="BS6" s="16">
        <f>ROUNDUP(Table1[[#This Row],[Valoarea fără TVA]],2)</f>
        <v>18427.5</v>
      </c>
    </row>
    <row r="7" spans="1:71" ht="27" customHeight="1" x14ac:dyDescent="0.25">
      <c r="A7" s="8">
        <v>69</v>
      </c>
      <c r="B7" s="9">
        <v>68</v>
      </c>
      <c r="C7" s="9">
        <v>6</v>
      </c>
      <c r="D7" s="10" t="s">
        <v>83</v>
      </c>
      <c r="E7" s="1" t="s">
        <v>84</v>
      </c>
      <c r="F7" s="8" t="s">
        <v>73</v>
      </c>
      <c r="G7" s="8">
        <v>10.846499999999999</v>
      </c>
      <c r="H7" s="8">
        <v>0</v>
      </c>
      <c r="I7" s="11">
        <v>12</v>
      </c>
      <c r="J7" s="11">
        <v>12</v>
      </c>
      <c r="K7" s="8"/>
      <c r="L7" s="8"/>
      <c r="M7" s="8"/>
      <c r="N7" s="8">
        <v>120</v>
      </c>
      <c r="O7" s="8"/>
      <c r="P7" s="11">
        <v>12</v>
      </c>
      <c r="Q7" s="11">
        <v>12</v>
      </c>
      <c r="R7" s="8"/>
      <c r="S7" s="8">
        <v>0</v>
      </c>
      <c r="T7" s="8"/>
      <c r="U7" s="8"/>
      <c r="V7" s="11">
        <v>804</v>
      </c>
      <c r="W7" s="8"/>
      <c r="X7" s="8"/>
      <c r="Y7" s="8"/>
      <c r="Z7" s="8">
        <v>600</v>
      </c>
      <c r="AA7" s="8"/>
      <c r="AB7" s="11">
        <v>12</v>
      </c>
      <c r="AC7" s="11">
        <v>504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>
        <v>24</v>
      </c>
      <c r="AR7" s="8"/>
      <c r="AS7" s="8"/>
      <c r="AT7" s="11">
        <v>96</v>
      </c>
      <c r="AU7" s="8"/>
      <c r="AV7" s="8"/>
      <c r="AW7" s="8"/>
      <c r="AX7" s="8"/>
      <c r="AY7" s="8">
        <v>36</v>
      </c>
      <c r="AZ7" s="8"/>
      <c r="BA7" s="8"/>
      <c r="BB7" s="8"/>
      <c r="BC7" s="11">
        <v>36</v>
      </c>
      <c r="BD7" s="8"/>
      <c r="BE7" s="8"/>
      <c r="BF7" s="8"/>
      <c r="BG7" s="8">
        <v>0</v>
      </c>
      <c r="BH7" s="11">
        <v>84</v>
      </c>
      <c r="BI7" s="8"/>
      <c r="BJ7" s="8"/>
      <c r="BK7" s="8">
        <v>72</v>
      </c>
      <c r="BL7" s="8"/>
      <c r="BM7" s="8"/>
      <c r="BN7" s="8">
        <v>0</v>
      </c>
      <c r="BO7" s="8"/>
      <c r="BP7" s="13">
        <f>SUM(H7:BO7)</f>
        <v>2436</v>
      </c>
      <c r="BQ7" s="13">
        <f>Table1[[#This Row],[Grand Total]]*Table1[[#This Row],[Preț estimat cu TVA]]</f>
        <v>26422.073999999997</v>
      </c>
      <c r="BR7" s="13">
        <f>Table1[[#This Row],[Suma cu TVA]]/1.2</f>
        <v>22018.394999999997</v>
      </c>
      <c r="BS7" s="16">
        <f>ROUNDUP(Table1[[#This Row],[Valoarea fără TVA]],2)</f>
        <v>22018.399999999998</v>
      </c>
    </row>
    <row r="8" spans="1:71" ht="27" customHeight="1" x14ac:dyDescent="0.25">
      <c r="A8" s="8">
        <v>70</v>
      </c>
      <c r="B8" s="9">
        <v>69</v>
      </c>
      <c r="C8" s="9">
        <v>7</v>
      </c>
      <c r="D8" s="10" t="s">
        <v>85</v>
      </c>
      <c r="E8" s="1" t="s">
        <v>86</v>
      </c>
      <c r="F8" s="8" t="s">
        <v>73</v>
      </c>
      <c r="G8" s="8">
        <v>9.6</v>
      </c>
      <c r="H8" s="8"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>
        <v>0</v>
      </c>
      <c r="T8" s="8"/>
      <c r="U8" s="8"/>
      <c r="V8" s="8">
        <v>0</v>
      </c>
      <c r="W8" s="8"/>
      <c r="X8" s="8"/>
      <c r="Y8" s="8"/>
      <c r="Z8" s="8">
        <v>0</v>
      </c>
      <c r="AA8" s="8"/>
      <c r="AB8" s="8">
        <v>0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>
        <v>0</v>
      </c>
      <c r="AZ8" s="8"/>
      <c r="BA8" s="8"/>
      <c r="BB8" s="8"/>
      <c r="BC8" s="8"/>
      <c r="BD8" s="11">
        <v>96</v>
      </c>
      <c r="BE8" s="8"/>
      <c r="BF8" s="8"/>
      <c r="BG8" s="8">
        <v>0</v>
      </c>
      <c r="BH8" s="8"/>
      <c r="BI8" s="8"/>
      <c r="BJ8" s="8"/>
      <c r="BK8" s="8"/>
      <c r="BL8" s="8"/>
      <c r="BM8" s="8"/>
      <c r="BN8" s="11">
        <v>96</v>
      </c>
      <c r="BO8" s="8"/>
      <c r="BP8" s="13">
        <f>SUM(H8:BO8)</f>
        <v>192</v>
      </c>
      <c r="BQ8" s="13">
        <f>Table1[[#This Row],[Grand Total]]*Table1[[#This Row],[Preț estimat cu TVA]]</f>
        <v>1843.1999999999998</v>
      </c>
      <c r="BR8" s="13">
        <f>Table1[[#This Row],[Suma cu TVA]]/1.2</f>
        <v>1536</v>
      </c>
      <c r="BS8" s="16">
        <f>ROUNDUP(Table1[[#This Row],[Valoarea fără TVA]],2)</f>
        <v>1536</v>
      </c>
    </row>
    <row r="9" spans="1:71" ht="27" customHeight="1" x14ac:dyDescent="0.25">
      <c r="A9" s="8">
        <v>71</v>
      </c>
      <c r="B9" s="9">
        <v>70</v>
      </c>
      <c r="C9" s="9">
        <v>8</v>
      </c>
      <c r="D9" s="10" t="s">
        <v>87</v>
      </c>
      <c r="E9" s="1" t="s">
        <v>88</v>
      </c>
      <c r="F9" s="8" t="s">
        <v>73</v>
      </c>
      <c r="G9" s="8">
        <v>6</v>
      </c>
      <c r="H9" s="8">
        <v>0</v>
      </c>
      <c r="I9" s="8"/>
      <c r="J9" s="8"/>
      <c r="K9" s="8"/>
      <c r="L9" s="8"/>
      <c r="M9" s="8"/>
      <c r="N9" s="8"/>
      <c r="O9" s="8"/>
      <c r="P9" s="8">
        <v>12</v>
      </c>
      <c r="Q9" s="8"/>
      <c r="R9" s="8"/>
      <c r="S9" s="8">
        <v>0</v>
      </c>
      <c r="T9" s="8"/>
      <c r="U9" s="8"/>
      <c r="V9" s="8">
        <v>1200</v>
      </c>
      <c r="W9" s="8"/>
      <c r="X9" s="8"/>
      <c r="Y9" s="8"/>
      <c r="Z9" s="8">
        <v>600</v>
      </c>
      <c r="AA9" s="8"/>
      <c r="AB9" s="8">
        <v>0</v>
      </c>
      <c r="AC9" s="8"/>
      <c r="AD9" s="8"/>
      <c r="AE9" s="8"/>
      <c r="AF9" s="8"/>
      <c r="AG9" s="8"/>
      <c r="AH9" s="8"/>
      <c r="AI9" s="8"/>
      <c r="AJ9" s="8"/>
      <c r="AK9" s="8"/>
      <c r="AL9" s="8">
        <v>48</v>
      </c>
      <c r="AM9" s="11">
        <v>96</v>
      </c>
      <c r="AN9" s="8"/>
      <c r="AO9" s="8"/>
      <c r="AP9" s="11">
        <v>12</v>
      </c>
      <c r="AQ9" s="8"/>
      <c r="AR9" s="8"/>
      <c r="AS9" s="8"/>
      <c r="AT9" s="8"/>
      <c r="AU9" s="11">
        <v>48</v>
      </c>
      <c r="AV9" s="8"/>
      <c r="AW9" s="8"/>
      <c r="AX9" s="8"/>
      <c r="AY9" s="8">
        <v>36</v>
      </c>
      <c r="AZ9" s="8"/>
      <c r="BA9" s="8">
        <v>48</v>
      </c>
      <c r="BB9" s="8"/>
      <c r="BC9" s="11">
        <v>24</v>
      </c>
      <c r="BD9" s="8"/>
      <c r="BE9" s="8"/>
      <c r="BF9" s="8">
        <v>48</v>
      </c>
      <c r="BG9" s="8">
        <v>24</v>
      </c>
      <c r="BH9" s="8"/>
      <c r="BI9" s="8"/>
      <c r="BJ9" s="8"/>
      <c r="BK9" s="8">
        <v>120</v>
      </c>
      <c r="BL9" s="8"/>
      <c r="BM9" s="8"/>
      <c r="BN9" s="11">
        <v>96</v>
      </c>
      <c r="BO9" s="8"/>
      <c r="BP9" s="13">
        <f>SUM(H9:BO9)</f>
        <v>2412</v>
      </c>
      <c r="BQ9" s="13">
        <f>Table1[[#This Row],[Grand Total]]*Table1[[#This Row],[Preț estimat cu TVA]]</f>
        <v>14472</v>
      </c>
      <c r="BR9" s="13">
        <f>Table1[[#This Row],[Suma cu TVA]]/1.2</f>
        <v>12060</v>
      </c>
      <c r="BS9" s="16">
        <f>ROUNDUP(Table1[[#This Row],[Valoarea fără TVA]],2)</f>
        <v>12060</v>
      </c>
    </row>
    <row r="10" spans="1:71" ht="27" customHeight="1" x14ac:dyDescent="0.25">
      <c r="A10" s="8">
        <v>72</v>
      </c>
      <c r="B10" s="9">
        <v>71</v>
      </c>
      <c r="C10" s="9">
        <v>9</v>
      </c>
      <c r="D10" s="10" t="s">
        <v>89</v>
      </c>
      <c r="E10" s="1" t="s">
        <v>90</v>
      </c>
      <c r="F10" s="8" t="s">
        <v>73</v>
      </c>
      <c r="G10" s="8">
        <v>5.6519999999999992</v>
      </c>
      <c r="H10" s="8">
        <v>0</v>
      </c>
      <c r="I10" s="11">
        <v>12</v>
      </c>
      <c r="J10" s="11">
        <v>12</v>
      </c>
      <c r="K10" s="8"/>
      <c r="L10" s="8"/>
      <c r="M10" s="8"/>
      <c r="N10" s="8"/>
      <c r="O10" s="8"/>
      <c r="P10" s="8">
        <v>12</v>
      </c>
      <c r="Q10" s="8"/>
      <c r="R10" s="8"/>
      <c r="S10" s="8">
        <v>0</v>
      </c>
      <c r="T10" s="8"/>
      <c r="U10" s="8"/>
      <c r="V10" s="11">
        <v>996</v>
      </c>
      <c r="W10" s="8"/>
      <c r="X10" s="8"/>
      <c r="Y10" s="8"/>
      <c r="Z10" s="8">
        <v>600</v>
      </c>
      <c r="AA10" s="8"/>
      <c r="AB10" s="8">
        <v>0</v>
      </c>
      <c r="AC10" s="11">
        <v>48</v>
      </c>
      <c r="AD10" s="8">
        <v>300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1">
        <v>12</v>
      </c>
      <c r="AQ10" s="8">
        <v>24</v>
      </c>
      <c r="AR10" s="8"/>
      <c r="AS10" s="8"/>
      <c r="AT10" s="8"/>
      <c r="AU10" s="11">
        <v>48</v>
      </c>
      <c r="AV10" s="8"/>
      <c r="AW10" s="8"/>
      <c r="AX10" s="8"/>
      <c r="AY10" s="8">
        <v>0</v>
      </c>
      <c r="AZ10" s="8"/>
      <c r="BA10" s="8">
        <v>48</v>
      </c>
      <c r="BB10" s="8"/>
      <c r="BC10" s="11">
        <v>36</v>
      </c>
      <c r="BD10" s="8"/>
      <c r="BE10" s="8"/>
      <c r="BF10" s="8">
        <v>48</v>
      </c>
      <c r="BG10" s="8">
        <v>48</v>
      </c>
      <c r="BH10" s="8"/>
      <c r="BI10" s="8"/>
      <c r="BJ10" s="8"/>
      <c r="BK10" s="8">
        <v>72</v>
      </c>
      <c r="BL10" s="8"/>
      <c r="BM10" s="8"/>
      <c r="BN10" s="8">
        <v>0</v>
      </c>
      <c r="BO10" s="8"/>
      <c r="BP10" s="13">
        <f>SUM(H10:BO10)</f>
        <v>2316</v>
      </c>
      <c r="BQ10" s="13">
        <f>Table1[[#This Row],[Grand Total]]*Table1[[#This Row],[Preț estimat cu TVA]]</f>
        <v>13090.031999999997</v>
      </c>
      <c r="BR10" s="13">
        <f>Table1[[#This Row],[Suma cu TVA]]/1.2</f>
        <v>10908.359999999999</v>
      </c>
      <c r="BS10" s="16">
        <f>ROUNDUP(Table1[[#This Row],[Valoarea fără TVA]],2)</f>
        <v>10908.36</v>
      </c>
    </row>
    <row r="11" spans="1:71" ht="27" customHeight="1" x14ac:dyDescent="0.25">
      <c r="A11" s="8">
        <v>73</v>
      </c>
      <c r="B11" s="9">
        <v>72</v>
      </c>
      <c r="C11" s="9">
        <v>10</v>
      </c>
      <c r="D11" s="10" t="s">
        <v>91</v>
      </c>
      <c r="E11" s="1" t="s">
        <v>92</v>
      </c>
      <c r="F11" s="8" t="s">
        <v>73</v>
      </c>
      <c r="G11" s="8">
        <v>5.1719999999999997</v>
      </c>
      <c r="H11" s="8">
        <v>0</v>
      </c>
      <c r="I11" s="8"/>
      <c r="J11" s="8"/>
      <c r="K11" s="8"/>
      <c r="L11" s="11">
        <v>36</v>
      </c>
      <c r="M11" s="8"/>
      <c r="N11" s="8"/>
      <c r="O11" s="8"/>
      <c r="P11" s="8"/>
      <c r="Q11" s="8"/>
      <c r="R11" s="8"/>
      <c r="S11" s="8">
        <v>0</v>
      </c>
      <c r="T11" s="8"/>
      <c r="U11" s="8"/>
      <c r="V11" s="11">
        <v>1404</v>
      </c>
      <c r="W11" s="8"/>
      <c r="X11" s="8"/>
      <c r="Y11" s="8"/>
      <c r="Z11" s="8">
        <v>120</v>
      </c>
      <c r="AA11" s="11">
        <v>252</v>
      </c>
      <c r="AB11" s="8">
        <v>0</v>
      </c>
      <c r="AC11" s="8"/>
      <c r="AD11" s="11">
        <v>504</v>
      </c>
      <c r="AE11" s="8"/>
      <c r="AF11" s="8"/>
      <c r="AG11" s="8"/>
      <c r="AH11" s="8"/>
      <c r="AI11" s="11">
        <v>12</v>
      </c>
      <c r="AJ11" s="8"/>
      <c r="AK11" s="8">
        <v>240</v>
      </c>
      <c r="AL11" s="8"/>
      <c r="AM11" s="8"/>
      <c r="AN11" s="8"/>
      <c r="AO11" s="8"/>
      <c r="AP11" s="11">
        <v>12</v>
      </c>
      <c r="AQ11" s="8">
        <v>24</v>
      </c>
      <c r="AR11" s="8"/>
      <c r="AS11" s="8"/>
      <c r="AT11" s="8"/>
      <c r="AU11" s="11">
        <v>96</v>
      </c>
      <c r="AV11" s="8"/>
      <c r="AW11" s="8"/>
      <c r="AX11" s="8"/>
      <c r="AY11" s="8">
        <v>0</v>
      </c>
      <c r="AZ11" s="8"/>
      <c r="BA11" s="8"/>
      <c r="BB11" s="8"/>
      <c r="BC11" s="11">
        <v>24</v>
      </c>
      <c r="BD11" s="8"/>
      <c r="BE11" s="8"/>
      <c r="BF11" s="8">
        <v>36</v>
      </c>
      <c r="BG11" s="8">
        <v>24</v>
      </c>
      <c r="BH11" s="8">
        <v>60</v>
      </c>
      <c r="BI11" s="8"/>
      <c r="BJ11" s="8"/>
      <c r="BK11" s="8">
        <v>72</v>
      </c>
      <c r="BL11" s="8"/>
      <c r="BM11" s="8"/>
      <c r="BN11" s="8">
        <v>0</v>
      </c>
      <c r="BO11" s="8"/>
      <c r="BP11" s="13">
        <f>SUM(H11:BO11)</f>
        <v>2916</v>
      </c>
      <c r="BQ11" s="13">
        <f>Table1[[#This Row],[Grand Total]]*Table1[[#This Row],[Preț estimat cu TVA]]</f>
        <v>15081.552</v>
      </c>
      <c r="BR11" s="13">
        <f>Table1[[#This Row],[Suma cu TVA]]/1.2</f>
        <v>12567.960000000001</v>
      </c>
      <c r="BS11" s="16">
        <f>ROUNDUP(Table1[[#This Row],[Valoarea fără TVA]],2)</f>
        <v>12567.96</v>
      </c>
    </row>
    <row r="12" spans="1:71" ht="27" customHeight="1" x14ac:dyDescent="0.25">
      <c r="A12" s="8">
        <v>74</v>
      </c>
      <c r="B12" s="9">
        <v>73</v>
      </c>
      <c r="C12" s="9">
        <v>11</v>
      </c>
      <c r="D12" s="10" t="s">
        <v>93</v>
      </c>
      <c r="E12" s="1" t="s">
        <v>94</v>
      </c>
      <c r="F12" s="8" t="s">
        <v>73</v>
      </c>
      <c r="G12" s="17">
        <v>6.01</v>
      </c>
      <c r="H12" s="8">
        <v>0</v>
      </c>
      <c r="I12" s="8"/>
      <c r="J12" s="8"/>
      <c r="K12" s="8"/>
      <c r="L12" s="8"/>
      <c r="M12" s="8"/>
      <c r="N12" s="8"/>
      <c r="O12" s="8"/>
      <c r="P12" s="8"/>
      <c r="Q12" s="8"/>
      <c r="R12" s="11">
        <v>48</v>
      </c>
      <c r="S12" s="8">
        <v>0</v>
      </c>
      <c r="T12" s="8"/>
      <c r="U12" s="8"/>
      <c r="V12" s="8">
        <v>600</v>
      </c>
      <c r="W12" s="8"/>
      <c r="X12" s="8"/>
      <c r="Y12" s="8"/>
      <c r="Z12" s="8">
        <v>0</v>
      </c>
      <c r="AA12" s="8"/>
      <c r="AB12" s="8">
        <v>0</v>
      </c>
      <c r="AC12" s="8"/>
      <c r="AD12" s="8">
        <v>600</v>
      </c>
      <c r="AE12" s="8"/>
      <c r="AF12" s="8"/>
      <c r="AG12" s="8"/>
      <c r="AH12" s="8"/>
      <c r="AI12" s="11">
        <v>12</v>
      </c>
      <c r="AJ12" s="8"/>
      <c r="AK12" s="8">
        <v>120</v>
      </c>
      <c r="AL12" s="8"/>
      <c r="AM12" s="8"/>
      <c r="AN12" s="8"/>
      <c r="AO12" s="8"/>
      <c r="AP12" s="8"/>
      <c r="AQ12" s="8"/>
      <c r="AR12" s="8"/>
      <c r="AS12" s="8"/>
      <c r="AT12" s="8"/>
      <c r="AU12" s="11">
        <v>96</v>
      </c>
      <c r="AV12" s="8"/>
      <c r="AW12" s="8"/>
      <c r="AX12" s="8"/>
      <c r="AY12" s="8">
        <v>0</v>
      </c>
      <c r="AZ12" s="8"/>
      <c r="BA12" s="8"/>
      <c r="BB12" s="8"/>
      <c r="BC12" s="8"/>
      <c r="BD12" s="8"/>
      <c r="BE12" s="8"/>
      <c r="BF12" s="8"/>
      <c r="BG12" s="8">
        <v>0</v>
      </c>
      <c r="BH12" s="8">
        <v>60</v>
      </c>
      <c r="BI12" s="8"/>
      <c r="BJ12" s="8"/>
      <c r="BK12" s="8"/>
      <c r="BL12" s="8"/>
      <c r="BM12" s="8"/>
      <c r="BN12" s="8">
        <v>0</v>
      </c>
      <c r="BO12" s="8"/>
      <c r="BP12" s="13">
        <f>SUM(H12:BO12)</f>
        <v>1536</v>
      </c>
      <c r="BQ12" s="13">
        <f>Table1[[#This Row],[Grand Total]]*Table1[[#This Row],[Preț estimat cu TVA]]</f>
        <v>9231.36</v>
      </c>
      <c r="BR12" s="13">
        <f>Table1[[#This Row],[Suma cu TVA]]/1.2</f>
        <v>7692.8000000000011</v>
      </c>
      <c r="BS12" s="16">
        <f>ROUNDUP(Table1[[#This Row],[Valoarea fără TVA]],2)</f>
        <v>7692.8</v>
      </c>
    </row>
    <row r="13" spans="1:71" ht="27" customHeight="1" x14ac:dyDescent="0.25">
      <c r="A13" s="8">
        <v>75</v>
      </c>
      <c r="B13" s="9">
        <v>74</v>
      </c>
      <c r="C13" s="9">
        <v>12</v>
      </c>
      <c r="D13" s="10" t="s">
        <v>95</v>
      </c>
      <c r="E13" s="1" t="s">
        <v>96</v>
      </c>
      <c r="F13" s="8" t="s">
        <v>73</v>
      </c>
      <c r="G13" s="8">
        <v>18.824999999999999</v>
      </c>
      <c r="H13" s="8"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0</v>
      </c>
      <c r="T13" s="8"/>
      <c r="U13" s="8"/>
      <c r="V13" s="8">
        <v>0</v>
      </c>
      <c r="W13" s="8"/>
      <c r="X13" s="8"/>
      <c r="Y13" s="8"/>
      <c r="Z13" s="8">
        <v>600</v>
      </c>
      <c r="AA13" s="8"/>
      <c r="AB13" s="8">
        <v>0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>
        <v>120</v>
      </c>
      <c r="AP13" s="11">
        <v>24</v>
      </c>
      <c r="AQ13" s="8"/>
      <c r="AR13" s="8"/>
      <c r="AS13" s="8">
        <v>24</v>
      </c>
      <c r="AT13" s="8"/>
      <c r="AU13" s="8"/>
      <c r="AV13" s="8">
        <v>120</v>
      </c>
      <c r="AW13" s="8"/>
      <c r="AX13" s="8"/>
      <c r="AY13" s="8">
        <v>0</v>
      </c>
      <c r="AZ13" s="8">
        <v>60</v>
      </c>
      <c r="BA13" s="8"/>
      <c r="BB13" s="8"/>
      <c r="BC13" s="11">
        <v>204</v>
      </c>
      <c r="BD13" s="11">
        <v>204</v>
      </c>
      <c r="BE13" s="8"/>
      <c r="BF13" s="8"/>
      <c r="BG13" s="8">
        <v>0</v>
      </c>
      <c r="BH13" s="8"/>
      <c r="BI13" s="8"/>
      <c r="BJ13" s="8"/>
      <c r="BK13" s="8"/>
      <c r="BL13" s="8"/>
      <c r="BM13" s="8"/>
      <c r="BN13" s="8">
        <v>0</v>
      </c>
      <c r="BO13" s="8"/>
      <c r="BP13" s="13">
        <f>SUM(H13:BO13)</f>
        <v>1356</v>
      </c>
      <c r="BQ13" s="13">
        <f>Table1[[#This Row],[Grand Total]]*Table1[[#This Row],[Preț estimat cu TVA]]</f>
        <v>25526.7</v>
      </c>
      <c r="BR13" s="13">
        <f>Table1[[#This Row],[Suma cu TVA]]/1.2</f>
        <v>21272.25</v>
      </c>
      <c r="BS13" s="16">
        <f>ROUNDUP(Table1[[#This Row],[Valoarea fără TVA]],2)</f>
        <v>21272.25</v>
      </c>
    </row>
    <row r="14" spans="1:71" ht="27" customHeight="1" x14ac:dyDescent="0.25">
      <c r="A14" s="8">
        <v>76</v>
      </c>
      <c r="B14" s="9">
        <v>75</v>
      </c>
      <c r="C14" s="9">
        <v>13</v>
      </c>
      <c r="D14" s="10" t="s">
        <v>97</v>
      </c>
      <c r="E14" s="1" t="s">
        <v>98</v>
      </c>
      <c r="F14" s="8" t="s">
        <v>73</v>
      </c>
      <c r="G14" s="8">
        <v>7.335</v>
      </c>
      <c r="H14" s="11">
        <v>24</v>
      </c>
      <c r="I14" s="8"/>
      <c r="J14" s="8"/>
      <c r="K14" s="8"/>
      <c r="L14" s="8"/>
      <c r="M14" s="11">
        <v>96</v>
      </c>
      <c r="N14" s="8"/>
      <c r="O14" s="8"/>
      <c r="P14" s="8"/>
      <c r="Q14" s="8"/>
      <c r="R14" s="8"/>
      <c r="S14" s="8">
        <v>0</v>
      </c>
      <c r="T14" s="8"/>
      <c r="U14" s="8"/>
      <c r="V14" s="8">
        <v>0</v>
      </c>
      <c r="W14" s="8"/>
      <c r="X14" s="8"/>
      <c r="Y14" s="8"/>
      <c r="Z14" s="8">
        <v>0</v>
      </c>
      <c r="AA14" s="8"/>
      <c r="AB14" s="8">
        <v>0</v>
      </c>
      <c r="AC14" s="8"/>
      <c r="AD14" s="8"/>
      <c r="AE14" s="8"/>
      <c r="AF14" s="8">
        <v>24</v>
      </c>
      <c r="AG14" s="8"/>
      <c r="AH14" s="8"/>
      <c r="AI14" s="11">
        <v>12</v>
      </c>
      <c r="AJ14" s="8"/>
      <c r="AK14" s="8"/>
      <c r="AL14" s="8"/>
      <c r="AM14" s="8"/>
      <c r="AN14" s="8"/>
      <c r="AO14" s="8">
        <v>60</v>
      </c>
      <c r="AP14" s="8"/>
      <c r="AQ14" s="8"/>
      <c r="AR14" s="8"/>
      <c r="AS14" s="8">
        <v>48</v>
      </c>
      <c r="AT14" s="8"/>
      <c r="AU14" s="8"/>
      <c r="AV14" s="11">
        <v>48</v>
      </c>
      <c r="AW14" s="8"/>
      <c r="AX14" s="8"/>
      <c r="AY14" s="8">
        <v>0</v>
      </c>
      <c r="AZ14" s="8"/>
      <c r="BA14" s="8"/>
      <c r="BB14" s="8"/>
      <c r="BC14" s="8"/>
      <c r="BD14" s="11">
        <v>96</v>
      </c>
      <c r="BE14" s="8"/>
      <c r="BF14" s="8"/>
      <c r="BG14" s="8">
        <v>0</v>
      </c>
      <c r="BH14" s="8">
        <v>36</v>
      </c>
      <c r="BI14" s="8"/>
      <c r="BJ14" s="8"/>
      <c r="BK14" s="8"/>
      <c r="BL14" s="8"/>
      <c r="BM14" s="8"/>
      <c r="BN14" s="8">
        <v>0</v>
      </c>
      <c r="BO14" s="8"/>
      <c r="BP14" s="13">
        <f>SUM(H14:BO14)</f>
        <v>444</v>
      </c>
      <c r="BQ14" s="13">
        <f>Table1[[#This Row],[Grand Total]]*Table1[[#This Row],[Preț estimat cu TVA]]</f>
        <v>3256.74</v>
      </c>
      <c r="BR14" s="13">
        <f>Table1[[#This Row],[Suma cu TVA]]/1.2</f>
        <v>2713.95</v>
      </c>
      <c r="BS14" s="16">
        <f>ROUNDUP(Table1[[#This Row],[Valoarea fără TVA]],2)</f>
        <v>2713.95</v>
      </c>
    </row>
    <row r="15" spans="1:71" ht="27" customHeight="1" x14ac:dyDescent="0.25">
      <c r="A15" s="8">
        <v>77</v>
      </c>
      <c r="B15" s="9">
        <v>76</v>
      </c>
      <c r="C15" s="9">
        <v>14</v>
      </c>
      <c r="D15" s="10" t="s">
        <v>99</v>
      </c>
      <c r="E15" s="1" t="s">
        <v>100</v>
      </c>
      <c r="F15" s="8" t="s">
        <v>73</v>
      </c>
      <c r="G15" s="8">
        <v>19.822500000000002</v>
      </c>
      <c r="H15" s="8"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0</v>
      </c>
      <c r="T15" s="8"/>
      <c r="U15" s="8"/>
      <c r="V15" s="8">
        <v>0</v>
      </c>
      <c r="W15" s="8"/>
      <c r="X15" s="8"/>
      <c r="Y15" s="8"/>
      <c r="Z15" s="8">
        <v>900</v>
      </c>
      <c r="AA15" s="8"/>
      <c r="AB15" s="8">
        <v>0</v>
      </c>
      <c r="AC15" s="8">
        <v>300</v>
      </c>
      <c r="AD15" s="8"/>
      <c r="AE15" s="8"/>
      <c r="AF15" s="8">
        <v>108</v>
      </c>
      <c r="AG15" s="8"/>
      <c r="AH15" s="8"/>
      <c r="AI15" s="8"/>
      <c r="AJ15" s="8"/>
      <c r="AK15" s="8"/>
      <c r="AL15" s="8"/>
      <c r="AM15" s="8"/>
      <c r="AN15" s="8"/>
      <c r="AO15" s="8">
        <v>180</v>
      </c>
      <c r="AP15" s="11">
        <v>24</v>
      </c>
      <c r="AQ15" s="8"/>
      <c r="AR15" s="8"/>
      <c r="AS15" s="8">
        <v>24</v>
      </c>
      <c r="AT15" s="8"/>
      <c r="AU15" s="8"/>
      <c r="AV15" s="8">
        <v>120</v>
      </c>
      <c r="AW15" s="8"/>
      <c r="AX15" s="8"/>
      <c r="AY15" s="8">
        <v>60</v>
      </c>
      <c r="AZ15" s="8"/>
      <c r="BA15" s="8"/>
      <c r="BB15" s="8"/>
      <c r="BC15" s="11">
        <v>204</v>
      </c>
      <c r="BD15" s="11">
        <v>204</v>
      </c>
      <c r="BE15" s="8"/>
      <c r="BF15" s="8"/>
      <c r="BG15" s="8">
        <v>0</v>
      </c>
      <c r="BH15" s="8"/>
      <c r="BI15" s="8"/>
      <c r="BJ15" s="8"/>
      <c r="BK15" s="8"/>
      <c r="BL15" s="8"/>
      <c r="BM15" s="8"/>
      <c r="BN15" s="8">
        <v>0</v>
      </c>
      <c r="BO15" s="8"/>
      <c r="BP15" s="13">
        <f>SUM(H15:BO15)</f>
        <v>2124</v>
      </c>
      <c r="BQ15" s="13">
        <f>Table1[[#This Row],[Grand Total]]*Table1[[#This Row],[Preț estimat cu TVA]]</f>
        <v>42102.990000000005</v>
      </c>
      <c r="BR15" s="13">
        <f>Table1[[#This Row],[Suma cu TVA]]/1.2</f>
        <v>35085.825000000004</v>
      </c>
      <c r="BS15" s="16">
        <f>ROUNDUP(Table1[[#This Row],[Valoarea fără TVA]],2)</f>
        <v>35085.83</v>
      </c>
    </row>
    <row r="16" spans="1:71" ht="27" customHeight="1" x14ac:dyDescent="0.25">
      <c r="A16" s="8">
        <v>78</v>
      </c>
      <c r="B16" s="9">
        <v>77</v>
      </c>
      <c r="C16" s="9">
        <v>15</v>
      </c>
      <c r="D16" s="10" t="s">
        <v>101</v>
      </c>
      <c r="E16" s="1" t="s">
        <v>102</v>
      </c>
      <c r="F16" s="8" t="s">
        <v>73</v>
      </c>
      <c r="G16" s="8">
        <v>10.584</v>
      </c>
      <c r="H16" s="8"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0</v>
      </c>
      <c r="T16" s="8"/>
      <c r="U16" s="8"/>
      <c r="V16" s="8">
        <v>0</v>
      </c>
      <c r="W16" s="8"/>
      <c r="X16" s="8"/>
      <c r="Y16" s="8"/>
      <c r="Z16" s="8">
        <v>900</v>
      </c>
      <c r="AA16" s="8"/>
      <c r="AB16" s="8">
        <v>0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1">
        <v>24</v>
      </c>
      <c r="AQ16" s="8"/>
      <c r="AR16" s="8"/>
      <c r="AS16" s="8"/>
      <c r="AT16" s="8"/>
      <c r="AU16" s="8"/>
      <c r="AV16" s="8"/>
      <c r="AW16" s="8"/>
      <c r="AX16" s="8"/>
      <c r="AY16" s="8">
        <v>60</v>
      </c>
      <c r="AZ16" s="8"/>
      <c r="BA16" s="8"/>
      <c r="BB16" s="8"/>
      <c r="BC16" s="8"/>
      <c r="BD16" s="11">
        <v>204</v>
      </c>
      <c r="BE16" s="8"/>
      <c r="BF16" s="8"/>
      <c r="BG16" s="8">
        <v>0</v>
      </c>
      <c r="BH16" s="8"/>
      <c r="BI16" s="8"/>
      <c r="BJ16" s="8"/>
      <c r="BK16" s="8"/>
      <c r="BL16" s="8"/>
      <c r="BM16" s="8"/>
      <c r="BN16" s="11">
        <v>48</v>
      </c>
      <c r="BO16" s="8"/>
      <c r="BP16" s="13">
        <f>SUM(H16:BO16)</f>
        <v>1236</v>
      </c>
      <c r="BQ16" s="13">
        <f>Table1[[#This Row],[Grand Total]]*Table1[[#This Row],[Preț estimat cu TVA]]</f>
        <v>13081.823999999999</v>
      </c>
      <c r="BR16" s="13">
        <f>Table1[[#This Row],[Suma cu TVA]]/1.2</f>
        <v>10901.519999999999</v>
      </c>
      <c r="BS16" s="16">
        <f>ROUNDUP(Table1[[#This Row],[Valoarea fără TVA]],2)</f>
        <v>10901.52</v>
      </c>
    </row>
    <row r="17" spans="1:71" ht="27" customHeight="1" x14ac:dyDescent="0.25">
      <c r="A17" s="8">
        <v>79</v>
      </c>
      <c r="B17" s="9">
        <v>78</v>
      </c>
      <c r="C17" s="9">
        <v>16</v>
      </c>
      <c r="D17" s="10" t="s">
        <v>103</v>
      </c>
      <c r="E17" s="1" t="s">
        <v>104</v>
      </c>
      <c r="F17" s="8" t="s">
        <v>73</v>
      </c>
      <c r="G17" s="8">
        <v>13.284000000000001</v>
      </c>
      <c r="H17" s="8"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v>0</v>
      </c>
      <c r="T17" s="8"/>
      <c r="U17" s="8"/>
      <c r="V17" s="8">
        <v>0</v>
      </c>
      <c r="W17" s="8"/>
      <c r="X17" s="8"/>
      <c r="Y17" s="8"/>
      <c r="Z17" s="8">
        <v>0</v>
      </c>
      <c r="AA17" s="8"/>
      <c r="AB17" s="8">
        <v>0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>
        <v>60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>
        <v>0</v>
      </c>
      <c r="AZ17" s="8"/>
      <c r="BA17" s="8"/>
      <c r="BB17" s="8"/>
      <c r="BC17" s="8"/>
      <c r="BD17" s="8"/>
      <c r="BE17" s="8"/>
      <c r="BF17" s="8"/>
      <c r="BG17" s="8">
        <v>0</v>
      </c>
      <c r="BH17" s="8"/>
      <c r="BI17" s="8"/>
      <c r="BJ17" s="8"/>
      <c r="BK17" s="8"/>
      <c r="BL17" s="8"/>
      <c r="BM17" s="8"/>
      <c r="BN17" s="8">
        <v>0</v>
      </c>
      <c r="BO17" s="8"/>
      <c r="BP17" s="13">
        <f>SUM(H17:BO17)</f>
        <v>60</v>
      </c>
      <c r="BQ17" s="13">
        <f>Table1[[#This Row],[Grand Total]]*Table1[[#This Row],[Preț estimat cu TVA]]</f>
        <v>797.04000000000008</v>
      </c>
      <c r="BR17" s="13">
        <f>Table1[[#This Row],[Suma cu TVA]]/1.2</f>
        <v>664.2</v>
      </c>
      <c r="BS17" s="16">
        <f>ROUNDUP(Table1[[#This Row],[Valoarea fără TVA]],2)</f>
        <v>664.2</v>
      </c>
    </row>
    <row r="18" spans="1:71" ht="27" customHeight="1" x14ac:dyDescent="0.25">
      <c r="A18" s="8">
        <v>80</v>
      </c>
      <c r="B18" s="9">
        <v>79</v>
      </c>
      <c r="C18" s="9">
        <v>17</v>
      </c>
      <c r="D18" s="10" t="s">
        <v>105</v>
      </c>
      <c r="E18" s="1" t="s">
        <v>106</v>
      </c>
      <c r="F18" s="8" t="s">
        <v>73</v>
      </c>
      <c r="G18" s="8">
        <v>6.4259999999999993</v>
      </c>
      <c r="H18" s="8">
        <v>0</v>
      </c>
      <c r="I18" s="8"/>
      <c r="J18" s="8"/>
      <c r="K18" s="8"/>
      <c r="L18" s="8"/>
      <c r="M18" s="8"/>
      <c r="N18" s="8">
        <v>120</v>
      </c>
      <c r="O18" s="8"/>
      <c r="P18" s="8"/>
      <c r="Q18" s="8"/>
      <c r="R18" s="8"/>
      <c r="S18" s="8">
        <v>0</v>
      </c>
      <c r="T18" s="8"/>
      <c r="U18" s="8"/>
      <c r="V18" s="8">
        <v>0</v>
      </c>
      <c r="W18" s="8"/>
      <c r="X18" s="8"/>
      <c r="Y18" s="8"/>
      <c r="Z18" s="8">
        <v>0</v>
      </c>
      <c r="AA18" s="8"/>
      <c r="AB18" s="8">
        <v>0</v>
      </c>
      <c r="AC18" s="8">
        <v>300</v>
      </c>
      <c r="AD18" s="8">
        <v>600</v>
      </c>
      <c r="AE18" s="8"/>
      <c r="AF18" s="8">
        <v>24</v>
      </c>
      <c r="AG18" s="8"/>
      <c r="AH18" s="8"/>
      <c r="AI18" s="11">
        <v>12</v>
      </c>
      <c r="AJ18" s="8"/>
      <c r="AK18" s="8"/>
      <c r="AL18" s="8">
        <v>240</v>
      </c>
      <c r="AM18" s="11">
        <v>48</v>
      </c>
      <c r="AN18" s="8">
        <v>60</v>
      </c>
      <c r="AO18" s="8"/>
      <c r="AP18" s="11">
        <v>84</v>
      </c>
      <c r="AQ18" s="8"/>
      <c r="AR18" s="8"/>
      <c r="AS18" s="8"/>
      <c r="AT18" s="8"/>
      <c r="AU18" s="8"/>
      <c r="AV18" s="8"/>
      <c r="AW18" s="8"/>
      <c r="AX18" s="8"/>
      <c r="AY18" s="8">
        <v>0</v>
      </c>
      <c r="AZ18" s="8">
        <v>72</v>
      </c>
      <c r="BA18" s="8">
        <v>60</v>
      </c>
      <c r="BB18" s="8"/>
      <c r="BC18" s="11">
        <v>84</v>
      </c>
      <c r="BD18" s="8"/>
      <c r="BE18" s="8"/>
      <c r="BF18" s="8"/>
      <c r="BG18" s="8">
        <v>60</v>
      </c>
      <c r="BH18" s="8"/>
      <c r="BI18" s="8"/>
      <c r="BJ18" s="8"/>
      <c r="BK18" s="8"/>
      <c r="BL18" s="8"/>
      <c r="BM18" s="8"/>
      <c r="BN18" s="8">
        <v>0</v>
      </c>
      <c r="BO18" s="8"/>
      <c r="BP18" s="13">
        <f>SUM(H18:BO18)</f>
        <v>1764</v>
      </c>
      <c r="BQ18" s="13">
        <f>Table1[[#This Row],[Grand Total]]*Table1[[#This Row],[Preț estimat cu TVA]]</f>
        <v>11335.463999999998</v>
      </c>
      <c r="BR18" s="13">
        <f>Table1[[#This Row],[Suma cu TVA]]/1.2</f>
        <v>9446.2199999999993</v>
      </c>
      <c r="BS18" s="16">
        <f>ROUNDUP(Table1[[#This Row],[Valoarea fără TVA]],2)</f>
        <v>9446.2199999999993</v>
      </c>
    </row>
    <row r="19" spans="1:71" ht="27" customHeight="1" x14ac:dyDescent="0.25">
      <c r="A19" s="8">
        <v>81</v>
      </c>
      <c r="B19" s="9">
        <v>80</v>
      </c>
      <c r="C19" s="9">
        <v>18</v>
      </c>
      <c r="D19" s="10" t="s">
        <v>107</v>
      </c>
      <c r="E19" s="1" t="s">
        <v>108</v>
      </c>
      <c r="F19" s="8" t="s">
        <v>73</v>
      </c>
      <c r="G19" s="8">
        <v>31.968</v>
      </c>
      <c r="H19" s="8"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v>0</v>
      </c>
      <c r="T19" s="8"/>
      <c r="U19" s="8"/>
      <c r="V19" s="8">
        <v>0</v>
      </c>
      <c r="W19" s="8"/>
      <c r="X19" s="8"/>
      <c r="Y19" s="8"/>
      <c r="Z19" s="8">
        <v>0</v>
      </c>
      <c r="AA19" s="8"/>
      <c r="AB19" s="8">
        <v>0</v>
      </c>
      <c r="AC19" s="8"/>
      <c r="AD19" s="8"/>
      <c r="AE19" s="8"/>
      <c r="AF19" s="8">
        <v>24</v>
      </c>
      <c r="AG19" s="8"/>
      <c r="AH19" s="8"/>
      <c r="AI19" s="8"/>
      <c r="AJ19" s="8"/>
      <c r="AK19" s="8"/>
      <c r="AL19" s="8"/>
      <c r="AM19" s="8"/>
      <c r="AN19" s="8">
        <v>120</v>
      </c>
      <c r="AO19" s="8"/>
      <c r="AP19" s="8">
        <v>48</v>
      </c>
      <c r="AQ19" s="8"/>
      <c r="AR19" s="8"/>
      <c r="AS19" s="8"/>
      <c r="AT19" s="11">
        <v>24</v>
      </c>
      <c r="AU19" s="11">
        <v>36</v>
      </c>
      <c r="AV19" s="8"/>
      <c r="AW19" s="8"/>
      <c r="AX19" s="8"/>
      <c r="AY19" s="8">
        <v>0</v>
      </c>
      <c r="AZ19" s="8"/>
      <c r="BA19" s="8"/>
      <c r="BB19" s="8"/>
      <c r="BC19" s="11">
        <v>36</v>
      </c>
      <c r="BD19" s="8"/>
      <c r="BE19" s="8"/>
      <c r="BF19" s="8"/>
      <c r="BG19" s="8">
        <v>60</v>
      </c>
      <c r="BH19" s="11">
        <v>12</v>
      </c>
      <c r="BI19" s="8"/>
      <c r="BJ19" s="8"/>
      <c r="BK19" s="8"/>
      <c r="BL19" s="8"/>
      <c r="BM19" s="8"/>
      <c r="BN19" s="8">
        <v>0</v>
      </c>
      <c r="BO19" s="8"/>
      <c r="BP19" s="13">
        <f>SUM(H19:BO19)</f>
        <v>360</v>
      </c>
      <c r="BQ19" s="13">
        <f>Table1[[#This Row],[Grand Total]]*Table1[[#This Row],[Preț estimat cu TVA]]</f>
        <v>11508.48</v>
      </c>
      <c r="BR19" s="13">
        <f>Table1[[#This Row],[Suma cu TVA]]/1.2</f>
        <v>9590.4</v>
      </c>
      <c r="BS19" s="16">
        <f>ROUNDUP(Table1[[#This Row],[Valoarea fără TVA]],2)</f>
        <v>9590.4</v>
      </c>
    </row>
    <row r="20" spans="1:71" ht="27" customHeight="1" x14ac:dyDescent="0.25">
      <c r="A20" s="8">
        <v>82</v>
      </c>
      <c r="B20" s="9">
        <v>81</v>
      </c>
      <c r="C20" s="9">
        <v>19</v>
      </c>
      <c r="D20" s="10" t="s">
        <v>109</v>
      </c>
      <c r="E20" s="1" t="s">
        <v>110</v>
      </c>
      <c r="F20" s="8" t="s">
        <v>73</v>
      </c>
      <c r="G20" s="8">
        <v>31.968</v>
      </c>
      <c r="H20" s="8">
        <v>0</v>
      </c>
      <c r="I20" s="8"/>
      <c r="J20" s="8"/>
      <c r="K20" s="8"/>
      <c r="L20" s="8"/>
      <c r="M20" s="8"/>
      <c r="N20" s="8">
        <v>60</v>
      </c>
      <c r="O20" s="8"/>
      <c r="P20" s="8"/>
      <c r="Q20" s="8"/>
      <c r="R20" s="8"/>
      <c r="S20" s="8">
        <v>0</v>
      </c>
      <c r="T20" s="8"/>
      <c r="U20" s="8"/>
      <c r="V20" s="11">
        <v>924</v>
      </c>
      <c r="W20" s="8"/>
      <c r="X20" s="8">
        <v>48</v>
      </c>
      <c r="Y20" s="8"/>
      <c r="Z20" s="8">
        <v>0</v>
      </c>
      <c r="AA20" s="11">
        <v>252</v>
      </c>
      <c r="AB20" s="8">
        <v>0</v>
      </c>
      <c r="AC20" s="8"/>
      <c r="AD20" s="8"/>
      <c r="AE20" s="8"/>
      <c r="AF20" s="8">
        <v>24</v>
      </c>
      <c r="AG20" s="8"/>
      <c r="AH20" s="8"/>
      <c r="AI20" s="8"/>
      <c r="AJ20" s="8"/>
      <c r="AK20" s="8"/>
      <c r="AL20" s="8">
        <v>120</v>
      </c>
      <c r="AM20" s="11">
        <v>48</v>
      </c>
      <c r="AN20" s="8">
        <v>120</v>
      </c>
      <c r="AO20" s="8"/>
      <c r="AP20" s="8">
        <v>24</v>
      </c>
      <c r="AQ20" s="8"/>
      <c r="AR20" s="8"/>
      <c r="AS20" s="8"/>
      <c r="AT20" s="8"/>
      <c r="AU20" s="8"/>
      <c r="AV20" s="8"/>
      <c r="AW20" s="8"/>
      <c r="AX20" s="8"/>
      <c r="AY20" s="8">
        <v>0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>
        <v>0</v>
      </c>
      <c r="BO20" s="8"/>
      <c r="BP20" s="13">
        <f>SUM(H20:BO20)</f>
        <v>1620</v>
      </c>
      <c r="BQ20" s="13">
        <f>Table1[[#This Row],[Grand Total]]*Table1[[#This Row],[Preț estimat cu TVA]]</f>
        <v>51788.160000000003</v>
      </c>
      <c r="BR20" s="13">
        <f>Table1[[#This Row],[Suma cu TVA]]/1.2</f>
        <v>43156.800000000003</v>
      </c>
      <c r="BS20" s="16">
        <f>ROUNDUP(Table1[[#This Row],[Valoarea fără TVA]],2)</f>
        <v>43156.800000000003</v>
      </c>
    </row>
    <row r="21" spans="1:71" ht="27" customHeight="1" x14ac:dyDescent="0.25">
      <c r="A21" s="8">
        <v>83</v>
      </c>
      <c r="B21" s="9">
        <v>82</v>
      </c>
      <c r="C21" s="9">
        <v>20</v>
      </c>
      <c r="D21" s="10" t="s">
        <v>111</v>
      </c>
      <c r="E21" s="1" t="s">
        <v>112</v>
      </c>
      <c r="F21" s="8" t="s">
        <v>73</v>
      </c>
      <c r="G21" s="8">
        <v>23.654666666666667</v>
      </c>
      <c r="H21" s="8">
        <v>0</v>
      </c>
      <c r="I21" s="8"/>
      <c r="J21" s="8"/>
      <c r="K21" s="8"/>
      <c r="L21" s="8"/>
      <c r="M21" s="8"/>
      <c r="N21" s="8">
        <v>60</v>
      </c>
      <c r="O21" s="8"/>
      <c r="P21" s="8"/>
      <c r="Q21" s="8"/>
      <c r="R21" s="8"/>
      <c r="S21" s="8">
        <v>0</v>
      </c>
      <c r="T21" s="8"/>
      <c r="U21" s="8"/>
      <c r="V21" s="8">
        <v>300</v>
      </c>
      <c r="W21" s="8"/>
      <c r="X21" s="8"/>
      <c r="Y21" s="8"/>
      <c r="Z21" s="8">
        <v>0</v>
      </c>
      <c r="AA21" s="8"/>
      <c r="AB21" s="8">
        <v>0</v>
      </c>
      <c r="AC21" s="11">
        <v>396</v>
      </c>
      <c r="AD21" s="8">
        <v>300</v>
      </c>
      <c r="AE21" s="8"/>
      <c r="AF21" s="8">
        <v>72</v>
      </c>
      <c r="AG21" s="8"/>
      <c r="AH21" s="8"/>
      <c r="AI21" s="8"/>
      <c r="AJ21" s="8"/>
      <c r="AK21" s="8"/>
      <c r="AL21" s="8"/>
      <c r="AM21" s="11">
        <v>96</v>
      </c>
      <c r="AN21" s="8">
        <v>60</v>
      </c>
      <c r="AO21" s="8"/>
      <c r="AP21" s="8">
        <v>60</v>
      </c>
      <c r="AQ21" s="8"/>
      <c r="AR21" s="8"/>
      <c r="AS21" s="8"/>
      <c r="AT21" s="11">
        <v>996</v>
      </c>
      <c r="AU21" s="8"/>
      <c r="AV21" s="8"/>
      <c r="AW21" s="8">
        <v>48</v>
      </c>
      <c r="AX21" s="8"/>
      <c r="AY21" s="8">
        <v>0</v>
      </c>
      <c r="AZ21" s="8"/>
      <c r="BA21" s="8"/>
      <c r="BB21" s="8"/>
      <c r="BC21" s="11">
        <v>36</v>
      </c>
      <c r="BD21" s="8"/>
      <c r="BE21" s="8"/>
      <c r="BF21" s="8"/>
      <c r="BG21" s="8">
        <v>60</v>
      </c>
      <c r="BH21" s="8"/>
      <c r="BI21" s="8"/>
      <c r="BJ21" s="8"/>
      <c r="BK21" s="8"/>
      <c r="BL21" s="8"/>
      <c r="BM21" s="8"/>
      <c r="BN21" s="8">
        <v>0</v>
      </c>
      <c r="BO21" s="8"/>
      <c r="BP21" s="13">
        <f>SUM(H21:BO21)</f>
        <v>2484</v>
      </c>
      <c r="BQ21" s="13">
        <f>Table1[[#This Row],[Grand Total]]*Table1[[#This Row],[Preț estimat cu TVA]]</f>
        <v>58758.192000000003</v>
      </c>
      <c r="BR21" s="13">
        <f>Table1[[#This Row],[Suma cu TVA]]/1.2</f>
        <v>48965.16</v>
      </c>
      <c r="BS21" s="16">
        <f>ROUNDUP(Table1[[#This Row],[Valoarea fără TVA]],2)</f>
        <v>48965.16</v>
      </c>
    </row>
    <row r="22" spans="1:71" ht="27" customHeight="1" x14ac:dyDescent="0.25">
      <c r="A22" s="8">
        <v>84</v>
      </c>
      <c r="B22" s="9">
        <v>83</v>
      </c>
      <c r="C22" s="9">
        <v>21</v>
      </c>
      <c r="D22" s="10" t="s">
        <v>113</v>
      </c>
      <c r="E22" s="1" t="s">
        <v>114</v>
      </c>
      <c r="F22" s="8" t="s">
        <v>73</v>
      </c>
      <c r="G22" s="8">
        <v>19.809000000000001</v>
      </c>
      <c r="H22" s="8"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v>0</v>
      </c>
      <c r="T22" s="8"/>
      <c r="U22" s="8"/>
      <c r="V22" s="11">
        <v>504</v>
      </c>
      <c r="W22" s="8"/>
      <c r="X22" s="8"/>
      <c r="Y22" s="8"/>
      <c r="Z22" s="8">
        <v>450</v>
      </c>
      <c r="AA22" s="8">
        <v>300</v>
      </c>
      <c r="AB22" s="8">
        <v>1200</v>
      </c>
      <c r="AC22" s="8"/>
      <c r="AD22" s="8"/>
      <c r="AE22" s="8"/>
      <c r="AF22" s="8"/>
      <c r="AG22" s="8"/>
      <c r="AH22" s="8"/>
      <c r="AI22" s="8"/>
      <c r="AJ22" s="8"/>
      <c r="AK22" s="8"/>
      <c r="AL22" s="8">
        <v>180</v>
      </c>
      <c r="AM22" s="8">
        <v>150</v>
      </c>
      <c r="AN22" s="8"/>
      <c r="AO22" s="8"/>
      <c r="AP22" s="8"/>
      <c r="AQ22" s="8"/>
      <c r="AR22" s="8"/>
      <c r="AS22" s="8"/>
      <c r="AT22" s="8"/>
      <c r="AU22" s="11">
        <v>24</v>
      </c>
      <c r="AV22" s="8"/>
      <c r="AW22" s="8">
        <v>24</v>
      </c>
      <c r="AX22" s="8">
        <v>24</v>
      </c>
      <c r="AY22" s="8">
        <v>60</v>
      </c>
      <c r="AZ22" s="8"/>
      <c r="BA22" s="8"/>
      <c r="BB22" s="8"/>
      <c r="BC22" s="11">
        <v>36</v>
      </c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>
        <v>0</v>
      </c>
      <c r="BO22" s="8"/>
      <c r="BP22" s="13">
        <f>SUM(H22:BO22)</f>
        <v>2952</v>
      </c>
      <c r="BQ22" s="13">
        <f>Table1[[#This Row],[Grand Total]]*Table1[[#This Row],[Preț estimat cu TVA]]</f>
        <v>58476.168000000005</v>
      </c>
      <c r="BR22" s="13">
        <f>Table1[[#This Row],[Suma cu TVA]]/1.2</f>
        <v>48730.140000000007</v>
      </c>
      <c r="BS22" s="16">
        <f>ROUNDUP(Table1[[#This Row],[Valoarea fără TVA]],2)</f>
        <v>48730.14</v>
      </c>
    </row>
    <row r="23" spans="1:71" ht="27" customHeight="1" x14ac:dyDescent="0.25">
      <c r="A23" s="8">
        <v>85</v>
      </c>
      <c r="B23" s="9">
        <v>84</v>
      </c>
      <c r="C23" s="9">
        <v>22</v>
      </c>
      <c r="D23" s="10" t="s">
        <v>115</v>
      </c>
      <c r="E23" s="1" t="s">
        <v>116</v>
      </c>
      <c r="F23" s="8" t="s">
        <v>73</v>
      </c>
      <c r="G23" s="17">
        <v>12.41</v>
      </c>
      <c r="H23" s="11">
        <v>24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0</v>
      </c>
      <c r="T23" s="8"/>
      <c r="U23" s="8"/>
      <c r="V23" s="8">
        <v>0</v>
      </c>
      <c r="W23" s="8"/>
      <c r="X23" s="8"/>
      <c r="Y23" s="8"/>
      <c r="Z23" s="8">
        <v>0</v>
      </c>
      <c r="AA23" s="11">
        <v>156</v>
      </c>
      <c r="AB23" s="8">
        <v>0</v>
      </c>
      <c r="AC23" s="8"/>
      <c r="AD23" s="8"/>
      <c r="AE23" s="8"/>
      <c r="AF23" s="8"/>
      <c r="AG23" s="8"/>
      <c r="AH23" s="8"/>
      <c r="AI23" s="8"/>
      <c r="AJ23" s="11">
        <v>96</v>
      </c>
      <c r="AK23" s="8"/>
      <c r="AL23" s="8"/>
      <c r="AM23" s="11">
        <v>396</v>
      </c>
      <c r="AN23" s="8"/>
      <c r="AO23" s="8"/>
      <c r="AP23" s="8">
        <v>36</v>
      </c>
      <c r="AQ23" s="8"/>
      <c r="AR23" s="8"/>
      <c r="AS23" s="8"/>
      <c r="AT23" s="8"/>
      <c r="AU23" s="8"/>
      <c r="AV23" s="8"/>
      <c r="AW23" s="8">
        <v>24</v>
      </c>
      <c r="AX23" s="8"/>
      <c r="AY23" s="8">
        <v>0</v>
      </c>
      <c r="AZ23" s="8"/>
      <c r="BA23" s="8"/>
      <c r="BB23" s="8"/>
      <c r="BC23" s="8">
        <v>48</v>
      </c>
      <c r="BD23" s="8"/>
      <c r="BE23" s="8"/>
      <c r="BF23" s="8"/>
      <c r="BG23" s="8">
        <v>60</v>
      </c>
      <c r="BH23" s="8"/>
      <c r="BI23" s="8"/>
      <c r="BJ23" s="8"/>
      <c r="BK23" s="8">
        <v>120</v>
      </c>
      <c r="BL23" s="8"/>
      <c r="BM23" s="8"/>
      <c r="BN23" s="8">
        <v>0</v>
      </c>
      <c r="BO23" s="8"/>
      <c r="BP23" s="13">
        <f>SUM(H23:BO23)</f>
        <v>960</v>
      </c>
      <c r="BQ23" s="13">
        <f>Table1[[#This Row],[Grand Total]]*Table1[[#This Row],[Preț estimat cu TVA]]</f>
        <v>11913.6</v>
      </c>
      <c r="BR23" s="13">
        <f>Table1[[#This Row],[Suma cu TVA]]/1.2</f>
        <v>9928</v>
      </c>
      <c r="BS23" s="16">
        <f>ROUNDUP(Table1[[#This Row],[Valoarea fără TVA]],2)</f>
        <v>9928</v>
      </c>
    </row>
    <row r="24" spans="1:71" ht="27" customHeight="1" x14ac:dyDescent="0.25">
      <c r="A24" s="8">
        <v>86</v>
      </c>
      <c r="B24" s="9">
        <v>85</v>
      </c>
      <c r="C24" s="9">
        <v>23</v>
      </c>
      <c r="D24" s="10" t="s">
        <v>117</v>
      </c>
      <c r="E24" s="1" t="s">
        <v>118</v>
      </c>
      <c r="F24" s="8" t="s">
        <v>73</v>
      </c>
      <c r="G24" s="8">
        <v>19.23</v>
      </c>
      <c r="H24" s="11">
        <v>48</v>
      </c>
      <c r="I24" s="8"/>
      <c r="J24" s="8"/>
      <c r="K24" s="8"/>
      <c r="L24" s="8"/>
      <c r="M24" s="8"/>
      <c r="N24" s="8">
        <v>120</v>
      </c>
      <c r="O24" s="8"/>
      <c r="P24" s="8"/>
      <c r="Q24" s="8"/>
      <c r="R24" s="8"/>
      <c r="S24" s="8">
        <v>0</v>
      </c>
      <c r="T24" s="8"/>
      <c r="U24" s="8"/>
      <c r="V24" s="8">
        <v>0</v>
      </c>
      <c r="W24" s="8"/>
      <c r="X24" s="8"/>
      <c r="Y24" s="11">
        <v>36</v>
      </c>
      <c r="Z24" s="8">
        <v>0</v>
      </c>
      <c r="AA24" s="8"/>
      <c r="AB24" s="11">
        <v>504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>
        <v>60</v>
      </c>
      <c r="AV24" s="8"/>
      <c r="AW24" s="8"/>
      <c r="AX24" s="8"/>
      <c r="AY24" s="8">
        <v>0</v>
      </c>
      <c r="AZ24" s="8"/>
      <c r="BA24" s="8">
        <v>24</v>
      </c>
      <c r="BB24" s="8"/>
      <c r="BC24" s="8"/>
      <c r="BD24" s="8"/>
      <c r="BE24" s="8"/>
      <c r="BF24" s="8"/>
      <c r="BG24" s="8">
        <v>0</v>
      </c>
      <c r="BH24" s="8"/>
      <c r="BI24" s="8"/>
      <c r="BJ24" s="8"/>
      <c r="BK24" s="8"/>
      <c r="BL24" s="8"/>
      <c r="BM24" s="8"/>
      <c r="BN24" s="8">
        <v>0</v>
      </c>
      <c r="BO24" s="8"/>
      <c r="BP24" s="13">
        <f>SUM(H24:BO24)</f>
        <v>792</v>
      </c>
      <c r="BQ24" s="13">
        <f>Table1[[#This Row],[Grand Total]]*Table1[[#This Row],[Preț estimat cu TVA]]</f>
        <v>15230.16</v>
      </c>
      <c r="BR24" s="13">
        <f>Table1[[#This Row],[Suma cu TVA]]/1.2</f>
        <v>12691.800000000001</v>
      </c>
      <c r="BS24" s="16">
        <f>ROUNDUP(Table1[[#This Row],[Valoarea fără TVA]],2)</f>
        <v>12691.8</v>
      </c>
    </row>
    <row r="25" spans="1:71" ht="27" customHeight="1" x14ac:dyDescent="0.25">
      <c r="A25" s="8">
        <v>87</v>
      </c>
      <c r="B25" s="9">
        <v>86</v>
      </c>
      <c r="C25" s="9">
        <v>24</v>
      </c>
      <c r="D25" s="10" t="s">
        <v>119</v>
      </c>
      <c r="E25" s="1" t="s">
        <v>120</v>
      </c>
      <c r="F25" s="8" t="s">
        <v>73</v>
      </c>
      <c r="G25" s="8">
        <v>13.51</v>
      </c>
      <c r="H25" s="8">
        <v>0</v>
      </c>
      <c r="I25" s="8"/>
      <c r="J25" s="8"/>
      <c r="K25" s="8"/>
      <c r="L25" s="8"/>
      <c r="M25" s="8"/>
      <c r="N25" s="8">
        <v>120</v>
      </c>
      <c r="O25" s="8"/>
      <c r="P25" s="8"/>
      <c r="Q25" s="8"/>
      <c r="R25" s="8"/>
      <c r="S25" s="8">
        <v>0</v>
      </c>
      <c r="T25" s="8"/>
      <c r="U25" s="8"/>
      <c r="V25" s="8">
        <v>0</v>
      </c>
      <c r="W25" s="8"/>
      <c r="X25" s="8"/>
      <c r="Y25" s="11">
        <v>36</v>
      </c>
      <c r="Z25" s="8">
        <v>0</v>
      </c>
      <c r="AA25" s="8"/>
      <c r="AB25" s="8">
        <v>0</v>
      </c>
      <c r="AC25" s="8">
        <v>300</v>
      </c>
      <c r="AD25" s="11">
        <v>396</v>
      </c>
      <c r="AE25" s="8"/>
      <c r="AF25" s="8"/>
      <c r="AG25" s="8"/>
      <c r="AH25" s="8"/>
      <c r="AI25" s="8"/>
      <c r="AJ25" s="11">
        <v>96</v>
      </c>
      <c r="AK25" s="8"/>
      <c r="AL25" s="8"/>
      <c r="AM25" s="8"/>
      <c r="AN25" s="8"/>
      <c r="AO25" s="8"/>
      <c r="AP25" s="8">
        <v>36</v>
      </c>
      <c r="AQ25" s="8"/>
      <c r="AR25" s="8"/>
      <c r="AS25" s="8"/>
      <c r="AT25" s="8"/>
      <c r="AU25" s="8">
        <v>60</v>
      </c>
      <c r="AV25" s="8"/>
      <c r="AW25" s="8">
        <v>12</v>
      </c>
      <c r="AX25" s="8"/>
      <c r="AY25" s="8">
        <v>0</v>
      </c>
      <c r="AZ25" s="8"/>
      <c r="BA25" s="8"/>
      <c r="BB25" s="8"/>
      <c r="BC25" s="8"/>
      <c r="BD25" s="8"/>
      <c r="BE25" s="8">
        <v>96</v>
      </c>
      <c r="BF25" s="8"/>
      <c r="BG25" s="8">
        <v>0</v>
      </c>
      <c r="BH25" s="8"/>
      <c r="BI25" s="8"/>
      <c r="BJ25" s="8"/>
      <c r="BK25" s="8"/>
      <c r="BL25" s="8"/>
      <c r="BM25" s="8"/>
      <c r="BN25" s="8">
        <v>0</v>
      </c>
      <c r="BO25" s="8"/>
      <c r="BP25" s="13">
        <f>SUM(H25:BO25)</f>
        <v>1152</v>
      </c>
      <c r="BQ25" s="13">
        <f>Table1[[#This Row],[Grand Total]]*Table1[[#This Row],[Preț estimat cu TVA]]</f>
        <v>15563.52</v>
      </c>
      <c r="BR25" s="13">
        <f>Table1[[#This Row],[Suma cu TVA]]/1.2</f>
        <v>12969.6</v>
      </c>
      <c r="BS25" s="16">
        <f>ROUNDUP(Table1[[#This Row],[Valoarea fără TVA]],2)</f>
        <v>12969.6</v>
      </c>
    </row>
    <row r="26" spans="1:71" ht="27" customHeight="1" x14ac:dyDescent="0.25">
      <c r="A26" s="8">
        <v>88</v>
      </c>
      <c r="B26" s="9">
        <v>87</v>
      </c>
      <c r="C26" s="9">
        <v>25</v>
      </c>
      <c r="D26" s="10" t="s">
        <v>121</v>
      </c>
      <c r="E26" s="1" t="s">
        <v>122</v>
      </c>
      <c r="F26" s="8" t="s">
        <v>73</v>
      </c>
      <c r="G26" s="8">
        <v>13.083000000000002</v>
      </c>
      <c r="H26" s="8">
        <v>0</v>
      </c>
      <c r="I26" s="8"/>
      <c r="J26" s="8"/>
      <c r="K26" s="8"/>
      <c r="L26" s="8"/>
      <c r="M26" s="8"/>
      <c r="N26" s="8">
        <v>120</v>
      </c>
      <c r="O26" s="8"/>
      <c r="P26" s="8"/>
      <c r="Q26" s="8"/>
      <c r="R26" s="8"/>
      <c r="S26" s="8">
        <v>0</v>
      </c>
      <c r="T26" s="8"/>
      <c r="U26" s="8"/>
      <c r="V26" s="8">
        <v>0</v>
      </c>
      <c r="W26" s="8"/>
      <c r="X26" s="8"/>
      <c r="Y26" s="8"/>
      <c r="Z26" s="8">
        <v>0</v>
      </c>
      <c r="AA26" s="8"/>
      <c r="AB26" s="8">
        <v>600</v>
      </c>
      <c r="AC26" s="11">
        <v>48</v>
      </c>
      <c r="AD26" s="8"/>
      <c r="AE26" s="11">
        <v>96</v>
      </c>
      <c r="AF26" s="8"/>
      <c r="AG26" s="8"/>
      <c r="AH26" s="8"/>
      <c r="AI26" s="8"/>
      <c r="AJ26" s="11">
        <v>96</v>
      </c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>
        <v>36</v>
      </c>
      <c r="AZ26" s="8"/>
      <c r="BA26" s="8">
        <v>60</v>
      </c>
      <c r="BB26" s="8"/>
      <c r="BC26" s="11">
        <v>36</v>
      </c>
      <c r="BD26" s="8"/>
      <c r="BE26" s="8">
        <v>96</v>
      </c>
      <c r="BF26" s="8"/>
      <c r="BG26" s="8">
        <v>0</v>
      </c>
      <c r="BH26" s="8"/>
      <c r="BI26" s="8"/>
      <c r="BJ26" s="8"/>
      <c r="BK26" s="8"/>
      <c r="BL26" s="8"/>
      <c r="BM26" s="8"/>
      <c r="BN26" s="8">
        <v>0</v>
      </c>
      <c r="BO26" s="8"/>
      <c r="BP26" s="13">
        <f>SUM(H26:BO26)</f>
        <v>1188</v>
      </c>
      <c r="BQ26" s="13">
        <f>Table1[[#This Row],[Grand Total]]*Table1[[#This Row],[Preț estimat cu TVA]]</f>
        <v>15542.604000000003</v>
      </c>
      <c r="BR26" s="13">
        <f>Table1[[#This Row],[Suma cu TVA]]/1.2</f>
        <v>12952.170000000004</v>
      </c>
      <c r="BS26" s="16">
        <f>ROUNDUP(Table1[[#This Row],[Valoarea fără TVA]],2)</f>
        <v>12952.17</v>
      </c>
    </row>
    <row r="27" spans="1:71" ht="27" customHeight="1" x14ac:dyDescent="0.25">
      <c r="A27" s="8">
        <v>89</v>
      </c>
      <c r="B27" s="9">
        <v>88</v>
      </c>
      <c r="C27" s="9">
        <v>26</v>
      </c>
      <c r="D27" s="10" t="s">
        <v>123</v>
      </c>
      <c r="E27" s="1" t="s">
        <v>124</v>
      </c>
      <c r="F27" s="8" t="s">
        <v>73</v>
      </c>
      <c r="G27" s="8">
        <v>12.363</v>
      </c>
      <c r="H27" s="11">
        <v>48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0</v>
      </c>
      <c r="T27" s="8"/>
      <c r="U27" s="8"/>
      <c r="V27" s="8">
        <v>0</v>
      </c>
      <c r="W27" s="8"/>
      <c r="X27" s="8"/>
      <c r="Y27" s="8"/>
      <c r="Z27" s="8">
        <v>0</v>
      </c>
      <c r="AA27" s="8"/>
      <c r="AB27" s="8">
        <v>0</v>
      </c>
      <c r="AC27" s="8">
        <v>300</v>
      </c>
      <c r="AD27" s="8"/>
      <c r="AE27" s="8"/>
      <c r="AF27" s="8"/>
      <c r="AG27" s="8"/>
      <c r="AH27" s="8"/>
      <c r="AI27" s="8"/>
      <c r="AJ27" s="11">
        <v>48</v>
      </c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>
        <v>0</v>
      </c>
      <c r="AZ27" s="8"/>
      <c r="BA27" s="8"/>
      <c r="BB27" s="8"/>
      <c r="BC27" s="11">
        <v>24</v>
      </c>
      <c r="BD27" s="8"/>
      <c r="BE27" s="8">
        <v>192</v>
      </c>
      <c r="BF27" s="8"/>
      <c r="BG27" s="8">
        <v>0</v>
      </c>
      <c r="BH27" s="8"/>
      <c r="BI27" s="8"/>
      <c r="BJ27" s="8"/>
      <c r="BK27" s="8">
        <v>48</v>
      </c>
      <c r="BL27" s="8"/>
      <c r="BM27" s="8"/>
      <c r="BN27" s="8">
        <v>300</v>
      </c>
      <c r="BO27" s="8"/>
      <c r="BP27" s="13">
        <f>SUM(H27:BO27)</f>
        <v>960</v>
      </c>
      <c r="BQ27" s="13">
        <f>Table1[[#This Row],[Grand Total]]*Table1[[#This Row],[Preț estimat cu TVA]]</f>
        <v>11868.48</v>
      </c>
      <c r="BR27" s="13">
        <f>Table1[[#This Row],[Suma cu TVA]]/1.2</f>
        <v>9890.4</v>
      </c>
      <c r="BS27" s="16">
        <f>ROUNDUP(Table1[[#This Row],[Valoarea fără TVA]],2)</f>
        <v>9890.4</v>
      </c>
    </row>
    <row r="28" spans="1:71" ht="27" customHeight="1" x14ac:dyDescent="0.25">
      <c r="A28" s="8">
        <v>90</v>
      </c>
      <c r="B28" s="9">
        <v>89</v>
      </c>
      <c r="C28" s="9">
        <v>27</v>
      </c>
      <c r="D28" s="10" t="s">
        <v>125</v>
      </c>
      <c r="E28" s="1" t="s">
        <v>126</v>
      </c>
      <c r="F28" s="8" t="s">
        <v>73</v>
      </c>
      <c r="G28" s="8">
        <v>36</v>
      </c>
      <c r="H28" s="8"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v>0</v>
      </c>
      <c r="T28" s="8"/>
      <c r="U28" s="8"/>
      <c r="V28" s="8">
        <v>0</v>
      </c>
      <c r="W28" s="8"/>
      <c r="X28" s="8"/>
      <c r="Y28" s="8"/>
      <c r="Z28" s="8">
        <v>240</v>
      </c>
      <c r="AA28" s="8"/>
      <c r="AB28" s="11">
        <v>2004</v>
      </c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>
        <v>12</v>
      </c>
      <c r="AX28" s="8">
        <v>24</v>
      </c>
      <c r="AY28" s="8">
        <v>0</v>
      </c>
      <c r="AZ28" s="8"/>
      <c r="BA28" s="8"/>
      <c r="BB28" s="8"/>
      <c r="BC28" s="8"/>
      <c r="BD28" s="8"/>
      <c r="BE28" s="8"/>
      <c r="BF28" s="8">
        <v>12</v>
      </c>
      <c r="BG28" s="8">
        <v>120</v>
      </c>
      <c r="BH28" s="8"/>
      <c r="BI28" s="8"/>
      <c r="BJ28" s="8"/>
      <c r="BK28" s="8"/>
      <c r="BL28" s="8"/>
      <c r="BM28" s="8"/>
      <c r="BN28" s="8">
        <v>300</v>
      </c>
      <c r="BO28" s="8"/>
      <c r="BP28" s="13">
        <f>SUM(H28:BO28)</f>
        <v>2712</v>
      </c>
      <c r="BQ28" s="13">
        <f>Table1[[#This Row],[Grand Total]]*Table1[[#This Row],[Preț estimat cu TVA]]</f>
        <v>97632</v>
      </c>
      <c r="BR28" s="13">
        <f>Table1[[#This Row],[Suma cu TVA]]/1.2</f>
        <v>81360</v>
      </c>
      <c r="BS28" s="16">
        <f>ROUNDUP(Table1[[#This Row],[Valoarea fără TVA]],2)</f>
        <v>81360</v>
      </c>
    </row>
    <row r="29" spans="1:71" ht="27" customHeight="1" x14ac:dyDescent="0.25">
      <c r="A29" s="8">
        <v>91</v>
      </c>
      <c r="B29" s="9">
        <v>90</v>
      </c>
      <c r="C29" s="9">
        <v>28</v>
      </c>
      <c r="D29" s="10" t="s">
        <v>127</v>
      </c>
      <c r="E29" s="1" t="s">
        <v>128</v>
      </c>
      <c r="F29" s="8" t="s">
        <v>73</v>
      </c>
      <c r="G29" s="17">
        <v>16.23</v>
      </c>
      <c r="H29" s="8"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v>0</v>
      </c>
      <c r="T29" s="8"/>
      <c r="U29" s="8"/>
      <c r="V29" s="8">
        <v>300</v>
      </c>
      <c r="W29" s="8"/>
      <c r="X29" s="8"/>
      <c r="Y29" s="8"/>
      <c r="Z29" s="8">
        <v>0</v>
      </c>
      <c r="AA29" s="11">
        <v>252</v>
      </c>
      <c r="AB29" s="8">
        <v>0</v>
      </c>
      <c r="AC29" s="8"/>
      <c r="AD29" s="8"/>
      <c r="AE29" s="8"/>
      <c r="AF29" s="8"/>
      <c r="AG29" s="8"/>
      <c r="AH29" s="8"/>
      <c r="AI29" s="8"/>
      <c r="AJ29" s="11">
        <v>48</v>
      </c>
      <c r="AK29" s="8"/>
      <c r="AL29" s="8"/>
      <c r="AM29" s="8"/>
      <c r="AN29" s="8">
        <v>60</v>
      </c>
      <c r="AO29" s="8"/>
      <c r="AP29" s="8"/>
      <c r="AQ29" s="8"/>
      <c r="AR29" s="8"/>
      <c r="AS29" s="8"/>
      <c r="AT29" s="8"/>
      <c r="AU29" s="8"/>
      <c r="AV29" s="8"/>
      <c r="AW29" s="8">
        <v>24</v>
      </c>
      <c r="AX29" s="8"/>
      <c r="AY29" s="8">
        <v>0</v>
      </c>
      <c r="AZ29" s="8"/>
      <c r="BA29" s="8"/>
      <c r="BB29" s="8"/>
      <c r="BC29" s="11">
        <v>36</v>
      </c>
      <c r="BD29" s="8"/>
      <c r="BE29" s="8"/>
      <c r="BF29" s="8"/>
      <c r="BG29" s="8">
        <v>12</v>
      </c>
      <c r="BH29" s="8"/>
      <c r="BI29" s="8"/>
      <c r="BJ29" s="8"/>
      <c r="BK29" s="8"/>
      <c r="BL29" s="8"/>
      <c r="BM29" s="8"/>
      <c r="BN29" s="11">
        <v>156</v>
      </c>
      <c r="BO29" s="8"/>
      <c r="BP29" s="13">
        <f>SUM(H29:BO29)</f>
        <v>888</v>
      </c>
      <c r="BQ29" s="13">
        <f>Table1[[#This Row],[Grand Total]]*Table1[[#This Row],[Preț estimat cu TVA]]</f>
        <v>14412.24</v>
      </c>
      <c r="BR29" s="13">
        <f>Table1[[#This Row],[Suma cu TVA]]/1.2</f>
        <v>12010.2</v>
      </c>
      <c r="BS29" s="16">
        <f>ROUNDUP(Table1[[#This Row],[Valoarea fără TVA]],2)</f>
        <v>12010.2</v>
      </c>
    </row>
    <row r="30" spans="1:71" ht="27" customHeight="1" x14ac:dyDescent="0.25">
      <c r="A30" s="8">
        <v>92</v>
      </c>
      <c r="B30" s="9">
        <v>91</v>
      </c>
      <c r="C30" s="9">
        <v>29</v>
      </c>
      <c r="D30" s="10" t="s">
        <v>129</v>
      </c>
      <c r="E30" s="1" t="s">
        <v>130</v>
      </c>
      <c r="F30" s="8" t="s">
        <v>73</v>
      </c>
      <c r="G30" s="8">
        <v>6.1560000000000006</v>
      </c>
      <c r="H30" s="8"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0</v>
      </c>
      <c r="T30" s="8"/>
      <c r="U30" s="8"/>
      <c r="V30" s="8">
        <v>0</v>
      </c>
      <c r="W30" s="8"/>
      <c r="X30" s="8">
        <v>36</v>
      </c>
      <c r="Y30" s="8"/>
      <c r="Z30" s="8">
        <v>0</v>
      </c>
      <c r="AA30" s="8"/>
      <c r="AB30" s="8">
        <v>0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>
        <v>60</v>
      </c>
      <c r="AO30" s="8"/>
      <c r="AP30" s="8">
        <v>24</v>
      </c>
      <c r="AQ30" s="8"/>
      <c r="AR30" s="8"/>
      <c r="AS30" s="8"/>
      <c r="AT30" s="11">
        <v>48</v>
      </c>
      <c r="AU30" s="8"/>
      <c r="AV30" s="8"/>
      <c r="AW30" s="8">
        <v>12</v>
      </c>
      <c r="AX30" s="8"/>
      <c r="AY30" s="8">
        <v>0</v>
      </c>
      <c r="AZ30" s="8"/>
      <c r="BA30" s="8"/>
      <c r="BB30" s="8"/>
      <c r="BC30" s="8"/>
      <c r="BD30" s="8"/>
      <c r="BE30" s="8"/>
      <c r="BF30" s="8"/>
      <c r="BG30" s="8">
        <v>0</v>
      </c>
      <c r="BH30" s="11">
        <v>36</v>
      </c>
      <c r="BI30" s="8"/>
      <c r="BJ30" s="8"/>
      <c r="BK30" s="8"/>
      <c r="BL30" s="8"/>
      <c r="BM30" s="8"/>
      <c r="BN30" s="8">
        <v>0</v>
      </c>
      <c r="BO30" s="8"/>
      <c r="BP30" s="13">
        <f>SUM(H30:BO30)</f>
        <v>216</v>
      </c>
      <c r="BQ30" s="13">
        <f>Table1[[#This Row],[Grand Total]]*Table1[[#This Row],[Preț estimat cu TVA]]</f>
        <v>1329.6960000000001</v>
      </c>
      <c r="BR30" s="13">
        <f>Table1[[#This Row],[Suma cu TVA]]/1.2</f>
        <v>1108.0800000000002</v>
      </c>
      <c r="BS30" s="16">
        <f>ROUNDUP(Table1[[#This Row],[Valoarea fără TVA]],2)</f>
        <v>1108.08</v>
      </c>
    </row>
    <row r="31" spans="1:71" ht="27" customHeight="1" x14ac:dyDescent="0.25">
      <c r="A31" s="8">
        <v>96</v>
      </c>
      <c r="B31" s="9">
        <v>95</v>
      </c>
      <c r="C31" s="9">
        <v>30</v>
      </c>
      <c r="D31" s="10" t="s">
        <v>131</v>
      </c>
      <c r="E31" s="1" t="s">
        <v>132</v>
      </c>
      <c r="F31" s="8" t="s">
        <v>73</v>
      </c>
      <c r="G31" s="17">
        <v>74.45</v>
      </c>
      <c r="H31" s="8"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v>700</v>
      </c>
      <c r="T31" s="8">
        <v>240</v>
      </c>
      <c r="U31" s="8"/>
      <c r="V31" s="8">
        <v>50</v>
      </c>
      <c r="W31" s="8"/>
      <c r="X31" s="8"/>
      <c r="Y31" s="8"/>
      <c r="Z31" s="8">
        <v>0</v>
      </c>
      <c r="AA31" s="8"/>
      <c r="AB31" s="8">
        <v>0</v>
      </c>
      <c r="AC31" s="8"/>
      <c r="AD31" s="8"/>
      <c r="AE31" s="8">
        <v>470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>
        <v>0</v>
      </c>
      <c r="AZ31" s="8"/>
      <c r="BA31" s="8"/>
      <c r="BB31" s="8"/>
      <c r="BC31" s="8"/>
      <c r="BD31" s="11">
        <v>12</v>
      </c>
      <c r="BE31" s="8"/>
      <c r="BF31" s="8"/>
      <c r="BG31" s="8">
        <v>0</v>
      </c>
      <c r="BH31" s="8"/>
      <c r="BI31" s="8"/>
      <c r="BJ31" s="8"/>
      <c r="BK31" s="8"/>
      <c r="BL31" s="8"/>
      <c r="BM31" s="8"/>
      <c r="BN31" s="8">
        <v>0</v>
      </c>
      <c r="BO31" s="8"/>
      <c r="BP31" s="13">
        <f>SUM(H31:BO31)</f>
        <v>1472</v>
      </c>
      <c r="BQ31" s="13">
        <f>Table1[[#This Row],[Grand Total]]*Table1[[#This Row],[Preț estimat cu TVA]]</f>
        <v>109590.40000000001</v>
      </c>
      <c r="BR31" s="13">
        <f>Table1[[#This Row],[Suma cu TVA]]/1.2</f>
        <v>91325.333333333343</v>
      </c>
      <c r="BS31" s="16">
        <f>ROUNDUP(Table1[[#This Row],[Valoarea fără TVA]],2)</f>
        <v>91325.34</v>
      </c>
    </row>
    <row r="32" spans="1:71" ht="27" customHeight="1" x14ac:dyDescent="0.25">
      <c r="A32" s="8">
        <v>97</v>
      </c>
      <c r="B32" s="9">
        <v>96</v>
      </c>
      <c r="C32" s="9">
        <v>31</v>
      </c>
      <c r="D32" s="10" t="s">
        <v>133</v>
      </c>
      <c r="E32" s="1" t="s">
        <v>134</v>
      </c>
      <c r="F32" s="8" t="s">
        <v>73</v>
      </c>
      <c r="G32" s="17">
        <v>71.05</v>
      </c>
      <c r="H32" s="8"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11">
        <v>1056</v>
      </c>
      <c r="T32" s="8">
        <v>180</v>
      </c>
      <c r="U32" s="8"/>
      <c r="V32" s="8">
        <v>50</v>
      </c>
      <c r="W32" s="8"/>
      <c r="X32" s="8"/>
      <c r="Y32" s="8"/>
      <c r="Z32" s="8">
        <v>0</v>
      </c>
      <c r="AA32" s="8"/>
      <c r="AB32" s="8">
        <v>0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>
        <v>0</v>
      </c>
      <c r="AZ32" s="8"/>
      <c r="BA32" s="8"/>
      <c r="BB32" s="8"/>
      <c r="BC32" s="8"/>
      <c r="BD32" s="8"/>
      <c r="BE32" s="8"/>
      <c r="BF32" s="8"/>
      <c r="BG32" s="8">
        <v>0</v>
      </c>
      <c r="BH32" s="8"/>
      <c r="BI32" s="8"/>
      <c r="BJ32" s="8"/>
      <c r="BK32" s="8"/>
      <c r="BL32" s="8"/>
      <c r="BM32" s="8"/>
      <c r="BN32" s="8">
        <v>0</v>
      </c>
      <c r="BO32" s="8"/>
      <c r="BP32" s="13">
        <f>SUM(H32:BO32)</f>
        <v>1286</v>
      </c>
      <c r="BQ32" s="13">
        <f>Table1[[#This Row],[Grand Total]]*Table1[[#This Row],[Preț estimat cu TVA]]</f>
        <v>91370.3</v>
      </c>
      <c r="BR32" s="13">
        <f>Table1[[#This Row],[Suma cu TVA]]/1.2</f>
        <v>76141.916666666672</v>
      </c>
      <c r="BS32" s="16">
        <f>ROUNDUP(Table1[[#This Row],[Valoarea fără TVA]],2)</f>
        <v>76141.919999999998</v>
      </c>
    </row>
    <row r="33" spans="1:71" ht="27" customHeight="1" x14ac:dyDescent="0.25">
      <c r="A33" s="8">
        <v>100</v>
      </c>
      <c r="B33" s="9">
        <v>99</v>
      </c>
      <c r="C33" s="9">
        <v>32</v>
      </c>
      <c r="D33" s="10" t="s">
        <v>135</v>
      </c>
      <c r="E33" s="1" t="s">
        <v>136</v>
      </c>
      <c r="F33" s="8" t="s">
        <v>73</v>
      </c>
      <c r="G33" s="17">
        <v>75.260000000000005</v>
      </c>
      <c r="H33" s="8"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72</v>
      </c>
      <c r="T33" s="8"/>
      <c r="U33" s="8"/>
      <c r="V33" s="8">
        <v>0</v>
      </c>
      <c r="W33" s="11">
        <v>24</v>
      </c>
      <c r="X33" s="8"/>
      <c r="Y33" s="8"/>
      <c r="Z33" s="8">
        <v>0</v>
      </c>
      <c r="AA33" s="8"/>
      <c r="AB33" s="8">
        <v>0</v>
      </c>
      <c r="AC33" s="8"/>
      <c r="AD33" s="8"/>
      <c r="AE33" s="8">
        <v>360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>
        <v>0</v>
      </c>
      <c r="AZ33" s="8"/>
      <c r="BA33" s="8"/>
      <c r="BB33" s="8"/>
      <c r="BC33" s="8"/>
      <c r="BD33" s="8"/>
      <c r="BE33" s="8"/>
      <c r="BF33" s="8"/>
      <c r="BG33" s="8">
        <v>0</v>
      </c>
      <c r="BH33" s="8"/>
      <c r="BI33" s="8"/>
      <c r="BJ33" s="8"/>
      <c r="BK33" s="8"/>
      <c r="BL33" s="8"/>
      <c r="BM33" s="8"/>
      <c r="BN33" s="8">
        <v>0</v>
      </c>
      <c r="BO33" s="8"/>
      <c r="BP33" s="13">
        <f>SUM(H33:BO33)</f>
        <v>456</v>
      </c>
      <c r="BQ33" s="13">
        <f>Table1[[#This Row],[Grand Total]]*Table1[[#This Row],[Preț estimat cu TVA]]</f>
        <v>34318.560000000005</v>
      </c>
      <c r="BR33" s="13">
        <f>Table1[[#This Row],[Suma cu TVA]]/1.2</f>
        <v>28598.800000000007</v>
      </c>
      <c r="BS33" s="16">
        <f>ROUNDUP(Table1[[#This Row],[Valoarea fără TVA]],2)</f>
        <v>28598.799999999999</v>
      </c>
    </row>
    <row r="34" spans="1:71" ht="27" customHeight="1" x14ac:dyDescent="0.25">
      <c r="A34" s="8">
        <v>103</v>
      </c>
      <c r="B34" s="9">
        <v>102</v>
      </c>
      <c r="C34" s="9">
        <v>33</v>
      </c>
      <c r="D34" s="10" t="s">
        <v>137</v>
      </c>
      <c r="E34" s="1" t="s">
        <v>138</v>
      </c>
      <c r="F34" s="8" t="s">
        <v>73</v>
      </c>
      <c r="G34" s="17">
        <v>105.17</v>
      </c>
      <c r="H34" s="8"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0</v>
      </c>
      <c r="T34" s="8"/>
      <c r="U34" s="8"/>
      <c r="V34" s="8">
        <v>0</v>
      </c>
      <c r="W34" s="8"/>
      <c r="X34" s="8"/>
      <c r="Y34" s="8"/>
      <c r="Z34" s="8">
        <v>0</v>
      </c>
      <c r="AA34" s="8"/>
      <c r="AB34" s="8">
        <v>0</v>
      </c>
      <c r="AC34" s="8"/>
      <c r="AD34" s="8"/>
      <c r="AE34" s="8"/>
      <c r="AF34" s="8"/>
      <c r="AG34" s="8"/>
      <c r="AH34" s="8"/>
      <c r="AI34" s="8"/>
      <c r="AJ34" s="8"/>
      <c r="AK34" s="8"/>
      <c r="AL34" s="8">
        <v>12</v>
      </c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>
        <v>0</v>
      </c>
      <c r="AZ34" s="8"/>
      <c r="BA34" s="8"/>
      <c r="BB34" s="8"/>
      <c r="BC34" s="8"/>
      <c r="BD34" s="8"/>
      <c r="BE34" s="8"/>
      <c r="BF34" s="8"/>
      <c r="BG34" s="8">
        <v>0</v>
      </c>
      <c r="BH34" s="8"/>
      <c r="BI34" s="8"/>
      <c r="BJ34" s="8"/>
      <c r="BK34" s="8"/>
      <c r="BL34" s="8"/>
      <c r="BM34" s="8"/>
      <c r="BN34" s="8">
        <v>0</v>
      </c>
      <c r="BO34" s="8"/>
      <c r="BP34" s="13">
        <f>SUM(H34:BO34)</f>
        <v>12</v>
      </c>
      <c r="BQ34" s="13">
        <f>Table1[[#This Row],[Grand Total]]*Table1[[#This Row],[Preț estimat cu TVA]]</f>
        <v>1262.04</v>
      </c>
      <c r="BR34" s="13">
        <f>Table1[[#This Row],[Suma cu TVA]]/1.2</f>
        <v>1051.7</v>
      </c>
      <c r="BS34" s="16">
        <f>ROUNDUP(Table1[[#This Row],[Valoarea fără TVA]],2)</f>
        <v>1051.7</v>
      </c>
    </row>
    <row r="35" spans="1:71" ht="27" customHeight="1" x14ac:dyDescent="0.25">
      <c r="A35" s="8">
        <v>104</v>
      </c>
      <c r="B35" s="9">
        <v>103</v>
      </c>
      <c r="C35" s="9">
        <v>34</v>
      </c>
      <c r="D35" s="10" t="s">
        <v>139</v>
      </c>
      <c r="E35" s="1" t="s">
        <v>140</v>
      </c>
      <c r="F35" s="8" t="s">
        <v>73</v>
      </c>
      <c r="G35" s="17">
        <v>63.58</v>
      </c>
      <c r="H35" s="8"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144</v>
      </c>
      <c r="T35" s="8"/>
      <c r="U35" s="8"/>
      <c r="V35" s="8">
        <v>100</v>
      </c>
      <c r="W35" s="8"/>
      <c r="X35" s="8"/>
      <c r="Y35" s="8"/>
      <c r="Z35" s="8">
        <v>0</v>
      </c>
      <c r="AA35" s="8"/>
      <c r="AB35" s="8">
        <v>0</v>
      </c>
      <c r="AC35" s="8"/>
      <c r="AD35" s="8"/>
      <c r="AE35" s="11">
        <v>792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>
        <v>0</v>
      </c>
      <c r="AZ35" s="8"/>
      <c r="BA35" s="8"/>
      <c r="BB35" s="8"/>
      <c r="BC35" s="8"/>
      <c r="BD35" s="8"/>
      <c r="BE35" s="8"/>
      <c r="BF35" s="8"/>
      <c r="BG35" s="8">
        <v>0</v>
      </c>
      <c r="BH35" s="8"/>
      <c r="BI35" s="8"/>
      <c r="BJ35" s="8"/>
      <c r="BK35" s="8"/>
      <c r="BL35" s="8"/>
      <c r="BM35" s="8"/>
      <c r="BN35" s="8">
        <v>0</v>
      </c>
      <c r="BO35" s="8"/>
      <c r="BP35" s="13">
        <f>SUM(H35:BO35)</f>
        <v>1036</v>
      </c>
      <c r="BQ35" s="13">
        <f>Table1[[#This Row],[Grand Total]]*Table1[[#This Row],[Preț estimat cu TVA]]</f>
        <v>65868.88</v>
      </c>
      <c r="BR35" s="13">
        <f>Table1[[#This Row],[Suma cu TVA]]/1.2</f>
        <v>54890.733333333337</v>
      </c>
      <c r="BS35" s="16">
        <f>ROUNDUP(Table1[[#This Row],[Valoarea fără TVA]],2)</f>
        <v>54890.740000000005</v>
      </c>
    </row>
    <row r="36" spans="1:71" ht="27" customHeight="1" x14ac:dyDescent="0.25">
      <c r="A36" s="8">
        <v>107</v>
      </c>
      <c r="B36" s="9">
        <v>106</v>
      </c>
      <c r="C36" s="9">
        <v>35</v>
      </c>
      <c r="D36" s="10" t="s">
        <v>141</v>
      </c>
      <c r="E36" s="1" t="s">
        <v>142</v>
      </c>
      <c r="F36" s="8" t="s">
        <v>73</v>
      </c>
      <c r="G36" s="17">
        <v>71.81</v>
      </c>
      <c r="H36" s="8"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v>360</v>
      </c>
      <c r="T36" s="8">
        <v>60</v>
      </c>
      <c r="U36" s="8"/>
      <c r="V36" s="8">
        <v>0</v>
      </c>
      <c r="W36" s="8"/>
      <c r="X36" s="8"/>
      <c r="Y36" s="8"/>
      <c r="Z36" s="8">
        <v>0</v>
      </c>
      <c r="AA36" s="8"/>
      <c r="AB36" s="8">
        <v>0</v>
      </c>
      <c r="AC36" s="8"/>
      <c r="AD36" s="8"/>
      <c r="AE36" s="8">
        <v>1200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>
        <v>0</v>
      </c>
      <c r="AZ36" s="8"/>
      <c r="BA36" s="8"/>
      <c r="BB36" s="8"/>
      <c r="BC36" s="8"/>
      <c r="BD36" s="11">
        <v>12</v>
      </c>
      <c r="BE36" s="8"/>
      <c r="BF36" s="8"/>
      <c r="BG36" s="8">
        <v>0</v>
      </c>
      <c r="BH36" s="8"/>
      <c r="BI36" s="8"/>
      <c r="BJ36" s="8"/>
      <c r="BK36" s="8"/>
      <c r="BL36" s="8"/>
      <c r="BM36" s="8"/>
      <c r="BN36" s="11">
        <v>156</v>
      </c>
      <c r="BO36" s="8"/>
      <c r="BP36" s="13">
        <f>SUM(H36:BO36)</f>
        <v>1788</v>
      </c>
      <c r="BQ36" s="13">
        <f>Table1[[#This Row],[Grand Total]]*Table1[[#This Row],[Preț estimat cu TVA]]</f>
        <v>128396.28</v>
      </c>
      <c r="BR36" s="13">
        <f>Table1[[#This Row],[Suma cu TVA]]/1.2</f>
        <v>106996.90000000001</v>
      </c>
      <c r="BS36" s="16">
        <f>ROUNDUP(Table1[[#This Row],[Valoarea fără TVA]],2)</f>
        <v>106996.9</v>
      </c>
    </row>
    <row r="37" spans="1:71" ht="27" customHeight="1" x14ac:dyDescent="0.25">
      <c r="A37" s="8">
        <v>113</v>
      </c>
      <c r="B37" s="9">
        <v>110</v>
      </c>
      <c r="C37" s="9">
        <v>36</v>
      </c>
      <c r="D37" s="10" t="s">
        <v>143</v>
      </c>
      <c r="E37" s="1" t="s">
        <v>144</v>
      </c>
      <c r="F37" s="8" t="s">
        <v>73</v>
      </c>
      <c r="G37" s="17">
        <v>63.58</v>
      </c>
      <c r="H37" s="8"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>
        <v>0</v>
      </c>
      <c r="T37" s="8">
        <v>96</v>
      </c>
      <c r="U37" s="8"/>
      <c r="V37" s="8">
        <v>0</v>
      </c>
      <c r="W37" s="8"/>
      <c r="X37" s="8"/>
      <c r="Y37" s="8"/>
      <c r="Z37" s="8">
        <v>0</v>
      </c>
      <c r="AA37" s="8"/>
      <c r="AB37" s="8">
        <v>0</v>
      </c>
      <c r="AC37" s="8"/>
      <c r="AD37" s="8"/>
      <c r="AE37" s="8">
        <v>360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>
        <v>0</v>
      </c>
      <c r="AZ37" s="8"/>
      <c r="BA37" s="8"/>
      <c r="BB37" s="8"/>
      <c r="BC37" s="8"/>
      <c r="BD37" s="8"/>
      <c r="BE37" s="8"/>
      <c r="BF37" s="8"/>
      <c r="BG37" s="8">
        <v>0</v>
      </c>
      <c r="BH37" s="8"/>
      <c r="BI37" s="8"/>
      <c r="BJ37" s="8"/>
      <c r="BK37" s="8"/>
      <c r="BL37" s="8"/>
      <c r="BM37" s="8"/>
      <c r="BN37" s="8">
        <v>0</v>
      </c>
      <c r="BO37" s="8"/>
      <c r="BP37" s="13">
        <f>SUM(H37:BO37)</f>
        <v>456</v>
      </c>
      <c r="BQ37" s="13">
        <f>Table1[[#This Row],[Grand Total]]*Table1[[#This Row],[Preț estimat cu TVA]]</f>
        <v>28992.48</v>
      </c>
      <c r="BR37" s="13">
        <f>Table1[[#This Row],[Suma cu TVA]]/1.2</f>
        <v>24160.400000000001</v>
      </c>
      <c r="BS37" s="16">
        <f>ROUNDUP(Table1[[#This Row],[Valoarea fără TVA]],2)</f>
        <v>24160.400000000001</v>
      </c>
    </row>
    <row r="38" spans="1:71" ht="27" customHeight="1" x14ac:dyDescent="0.25">
      <c r="A38" s="8">
        <v>119</v>
      </c>
      <c r="B38" s="9">
        <v>115</v>
      </c>
      <c r="C38" s="9">
        <v>37</v>
      </c>
      <c r="D38" s="10" t="s">
        <v>145</v>
      </c>
      <c r="E38" s="1" t="s">
        <v>146</v>
      </c>
      <c r="F38" s="8" t="s">
        <v>73</v>
      </c>
      <c r="G38" s="17">
        <v>71.81</v>
      </c>
      <c r="H38" s="8"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0</v>
      </c>
      <c r="T38" s="8"/>
      <c r="U38" s="8"/>
      <c r="V38" s="8">
        <v>0</v>
      </c>
      <c r="W38" s="8"/>
      <c r="X38" s="8"/>
      <c r="Y38" s="8"/>
      <c r="Z38" s="8">
        <v>0</v>
      </c>
      <c r="AA38" s="8"/>
      <c r="AB38" s="8">
        <v>0</v>
      </c>
      <c r="AC38" s="8"/>
      <c r="AD38" s="8"/>
      <c r="AE38" s="8">
        <v>1152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>
        <v>0</v>
      </c>
      <c r="AZ38" s="8"/>
      <c r="BA38" s="8"/>
      <c r="BB38" s="8"/>
      <c r="BC38" s="8"/>
      <c r="BD38" s="8"/>
      <c r="BE38" s="8"/>
      <c r="BF38" s="8"/>
      <c r="BG38" s="8">
        <v>0</v>
      </c>
      <c r="BH38" s="8"/>
      <c r="BI38" s="8"/>
      <c r="BJ38" s="8"/>
      <c r="BK38" s="8"/>
      <c r="BL38" s="8"/>
      <c r="BM38" s="8"/>
      <c r="BN38" s="8">
        <v>0</v>
      </c>
      <c r="BO38" s="8"/>
      <c r="BP38" s="13">
        <f>SUM(H38:BO38)</f>
        <v>1152</v>
      </c>
      <c r="BQ38" s="13">
        <f>Table1[[#This Row],[Grand Total]]*Table1[[#This Row],[Preț estimat cu TVA]]</f>
        <v>82725.119999999995</v>
      </c>
      <c r="BR38" s="13">
        <f>Table1[[#This Row],[Suma cu TVA]]/1.2</f>
        <v>68937.600000000006</v>
      </c>
      <c r="BS38" s="16">
        <f>ROUNDUP(Table1[[#This Row],[Valoarea fără TVA]],2)</f>
        <v>68937.600000000006</v>
      </c>
    </row>
    <row r="39" spans="1:71" ht="27" customHeight="1" x14ac:dyDescent="0.25">
      <c r="A39" s="8">
        <v>121</v>
      </c>
      <c r="B39" s="9">
        <v>117</v>
      </c>
      <c r="C39" s="9">
        <v>38</v>
      </c>
      <c r="D39" s="10" t="s">
        <v>147</v>
      </c>
      <c r="E39" s="1" t="s">
        <v>148</v>
      </c>
      <c r="F39" s="8" t="s">
        <v>73</v>
      </c>
      <c r="G39" s="17">
        <v>74.459999999999994</v>
      </c>
      <c r="H39" s="8"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360</v>
      </c>
      <c r="T39" s="8"/>
      <c r="U39" s="8"/>
      <c r="V39" s="8">
        <v>0</v>
      </c>
      <c r="W39" s="8"/>
      <c r="X39" s="8"/>
      <c r="Y39" s="8"/>
      <c r="Z39" s="8">
        <v>0</v>
      </c>
      <c r="AA39" s="8"/>
      <c r="AB39" s="8">
        <v>0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>
        <v>0</v>
      </c>
      <c r="AZ39" s="8"/>
      <c r="BA39" s="8"/>
      <c r="BB39" s="8"/>
      <c r="BC39" s="8"/>
      <c r="BD39" s="8"/>
      <c r="BE39" s="8"/>
      <c r="BF39" s="8"/>
      <c r="BG39" s="8">
        <v>0</v>
      </c>
      <c r="BH39" s="8"/>
      <c r="BI39" s="8"/>
      <c r="BJ39" s="8"/>
      <c r="BK39" s="8"/>
      <c r="BL39" s="8"/>
      <c r="BM39" s="8"/>
      <c r="BN39" s="8">
        <v>0</v>
      </c>
      <c r="BO39" s="8"/>
      <c r="BP39" s="13">
        <f>SUM(H39:BO39)</f>
        <v>360</v>
      </c>
      <c r="BQ39" s="13">
        <f>Table1[[#This Row],[Grand Total]]*Table1[[#This Row],[Preț estimat cu TVA]]</f>
        <v>26805.599999999999</v>
      </c>
      <c r="BR39" s="13">
        <f>Table1[[#This Row],[Suma cu TVA]]/1.2</f>
        <v>22338</v>
      </c>
      <c r="BS39" s="16">
        <f>ROUNDUP(Table1[[#This Row],[Valoarea fără TVA]],2)</f>
        <v>22338</v>
      </c>
    </row>
    <row r="40" spans="1:71" ht="27" customHeight="1" x14ac:dyDescent="0.25">
      <c r="A40" s="8">
        <v>123</v>
      </c>
      <c r="B40" s="9">
        <v>119</v>
      </c>
      <c r="C40" s="9">
        <v>39</v>
      </c>
      <c r="D40" s="10" t="s">
        <v>149</v>
      </c>
      <c r="E40" s="1" t="s">
        <v>150</v>
      </c>
      <c r="F40" s="8" t="s">
        <v>73</v>
      </c>
      <c r="G40" s="17">
        <v>83.6</v>
      </c>
      <c r="H40" s="8"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0</v>
      </c>
      <c r="T40" s="8"/>
      <c r="U40" s="8"/>
      <c r="V40" s="8">
        <v>0</v>
      </c>
      <c r="W40" s="8"/>
      <c r="X40" s="8"/>
      <c r="Y40" s="8"/>
      <c r="Z40" s="8">
        <v>0</v>
      </c>
      <c r="AA40" s="8"/>
      <c r="AB40" s="8">
        <v>0</v>
      </c>
      <c r="AC40" s="8"/>
      <c r="AD40" s="8"/>
      <c r="AE40" s="8">
        <v>280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>
        <v>0</v>
      </c>
      <c r="AZ40" s="8"/>
      <c r="BA40" s="8"/>
      <c r="BB40" s="8"/>
      <c r="BC40" s="8"/>
      <c r="BD40" s="8"/>
      <c r="BE40" s="8"/>
      <c r="BF40" s="8"/>
      <c r="BG40" s="8">
        <v>0</v>
      </c>
      <c r="BH40" s="8"/>
      <c r="BI40" s="8"/>
      <c r="BJ40" s="8"/>
      <c r="BK40" s="8"/>
      <c r="BL40" s="8"/>
      <c r="BM40" s="8"/>
      <c r="BN40" s="8">
        <v>0</v>
      </c>
      <c r="BO40" s="8"/>
      <c r="BP40" s="13">
        <f>SUM(H40:BO40)</f>
        <v>280</v>
      </c>
      <c r="BQ40" s="13">
        <f>Table1[[#This Row],[Grand Total]]*Table1[[#This Row],[Preț estimat cu TVA]]</f>
        <v>23408</v>
      </c>
      <c r="BR40" s="13">
        <f>Table1[[#This Row],[Suma cu TVA]]/1.2</f>
        <v>19506.666666666668</v>
      </c>
      <c r="BS40" s="18">
        <f>ROUNDUP(Table1[[#This Row],[Valoarea fără TVA]],2)</f>
        <v>19506.669999999998</v>
      </c>
    </row>
    <row r="41" spans="1:71" ht="27" customHeight="1" x14ac:dyDescent="0.25">
      <c r="A41" s="8">
        <v>127</v>
      </c>
      <c r="B41" s="9">
        <v>123</v>
      </c>
      <c r="C41" s="9">
        <v>40</v>
      </c>
      <c r="D41" s="10" t="s">
        <v>151</v>
      </c>
      <c r="E41" s="1" t="s">
        <v>152</v>
      </c>
      <c r="F41" s="8" t="s">
        <v>73</v>
      </c>
      <c r="G41" s="17">
        <v>72.05</v>
      </c>
      <c r="H41" s="8"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0</v>
      </c>
      <c r="T41" s="8"/>
      <c r="U41" s="8"/>
      <c r="V41" s="8">
        <v>0</v>
      </c>
      <c r="W41" s="8"/>
      <c r="X41" s="8"/>
      <c r="Y41" s="8"/>
      <c r="Z41" s="8">
        <v>0</v>
      </c>
      <c r="AA41" s="8"/>
      <c r="AB41" s="8">
        <v>0</v>
      </c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>
        <v>0</v>
      </c>
      <c r="AZ41" s="8"/>
      <c r="BA41" s="8"/>
      <c r="BB41" s="8"/>
      <c r="BC41" s="8"/>
      <c r="BD41" s="8">
        <v>50</v>
      </c>
      <c r="BE41" s="8"/>
      <c r="BF41" s="8"/>
      <c r="BG41" s="8">
        <v>0</v>
      </c>
      <c r="BH41" s="8"/>
      <c r="BI41" s="8"/>
      <c r="BJ41" s="8"/>
      <c r="BK41" s="8"/>
      <c r="BL41" s="8"/>
      <c r="BM41" s="8"/>
      <c r="BN41" s="8">
        <v>0</v>
      </c>
      <c r="BO41" s="8"/>
      <c r="BP41" s="13">
        <f>SUM(H41:BO41)</f>
        <v>50</v>
      </c>
      <c r="BQ41" s="13">
        <f>Table1[[#This Row],[Grand Total]]*Table1[[#This Row],[Preț estimat cu TVA]]</f>
        <v>3602.5</v>
      </c>
      <c r="BR41" s="13">
        <f>Table1[[#This Row],[Suma cu TVA]]/1.2</f>
        <v>3002.0833333333335</v>
      </c>
      <c r="BS41" s="16">
        <f>ROUNDUP(Table1[[#This Row],[Valoarea fără TVA]],2)</f>
        <v>3002.09</v>
      </c>
    </row>
    <row r="42" spans="1:71" ht="27" customHeight="1" x14ac:dyDescent="0.25">
      <c r="A42" s="8">
        <v>131</v>
      </c>
      <c r="B42" s="9">
        <v>125</v>
      </c>
      <c r="C42" s="9">
        <v>41</v>
      </c>
      <c r="D42" s="10" t="s">
        <v>153</v>
      </c>
      <c r="E42" s="1" t="s">
        <v>154</v>
      </c>
      <c r="F42" s="8" t="s">
        <v>73</v>
      </c>
      <c r="G42" s="17">
        <v>72.87</v>
      </c>
      <c r="H42" s="8"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0</v>
      </c>
      <c r="T42" s="8"/>
      <c r="U42" s="8"/>
      <c r="V42" s="8">
        <v>0</v>
      </c>
      <c r="W42" s="8"/>
      <c r="X42" s="8"/>
      <c r="Y42" s="8"/>
      <c r="Z42" s="8">
        <v>0</v>
      </c>
      <c r="AA42" s="8"/>
      <c r="AB42" s="8">
        <v>0</v>
      </c>
      <c r="AC42" s="8"/>
      <c r="AD42" s="8"/>
      <c r="AE42" s="8">
        <v>300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>
        <v>0</v>
      </c>
      <c r="AZ42" s="8"/>
      <c r="BA42" s="8"/>
      <c r="BB42" s="8"/>
      <c r="BC42" s="8"/>
      <c r="BD42" s="8"/>
      <c r="BE42" s="8"/>
      <c r="BF42" s="8"/>
      <c r="BG42" s="8">
        <v>0</v>
      </c>
      <c r="BH42" s="8"/>
      <c r="BI42" s="8"/>
      <c r="BJ42" s="8"/>
      <c r="BK42" s="8"/>
      <c r="BL42" s="8"/>
      <c r="BM42" s="8"/>
      <c r="BN42" s="8">
        <v>0</v>
      </c>
      <c r="BO42" s="8"/>
      <c r="BP42" s="13">
        <f>SUM(H42:BO42)</f>
        <v>300</v>
      </c>
      <c r="BQ42" s="13">
        <f>Table1[[#This Row],[Grand Total]]*Table1[[#This Row],[Preț estimat cu TVA]]</f>
        <v>21861</v>
      </c>
      <c r="BR42" s="13">
        <f>Table1[[#This Row],[Suma cu TVA]]/1.2</f>
        <v>18217.5</v>
      </c>
      <c r="BS42" s="16">
        <f>ROUNDUP(Table1[[#This Row],[Valoarea fără TVA]],2)</f>
        <v>18217.5</v>
      </c>
    </row>
    <row r="43" spans="1:71" ht="27" customHeight="1" x14ac:dyDescent="0.25">
      <c r="A43" s="8">
        <v>133</v>
      </c>
      <c r="B43" s="9">
        <v>126</v>
      </c>
      <c r="C43" s="9">
        <v>42</v>
      </c>
      <c r="D43" s="10" t="s">
        <v>155</v>
      </c>
      <c r="E43" s="1" t="s">
        <v>156</v>
      </c>
      <c r="F43" s="8" t="s">
        <v>73</v>
      </c>
      <c r="G43" s="17">
        <v>51.49</v>
      </c>
      <c r="H43" s="8"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v>0</v>
      </c>
      <c r="T43" s="8"/>
      <c r="U43" s="8"/>
      <c r="V43" s="8">
        <v>0</v>
      </c>
      <c r="W43" s="8"/>
      <c r="X43" s="8"/>
      <c r="Y43" s="8"/>
      <c r="Z43" s="8">
        <v>0</v>
      </c>
      <c r="AA43" s="8"/>
      <c r="AB43" s="8">
        <v>100</v>
      </c>
      <c r="AC43" s="8"/>
      <c r="AD43" s="8"/>
      <c r="AE43" s="8">
        <v>108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>
        <v>0</v>
      </c>
      <c r="AZ43" s="8"/>
      <c r="BA43" s="8"/>
      <c r="BB43" s="8"/>
      <c r="BC43" s="8"/>
      <c r="BD43" s="8"/>
      <c r="BE43" s="8"/>
      <c r="BF43" s="8"/>
      <c r="BG43" s="8">
        <v>0</v>
      </c>
      <c r="BH43" s="8"/>
      <c r="BI43" s="8"/>
      <c r="BJ43" s="8"/>
      <c r="BK43" s="8"/>
      <c r="BL43" s="8"/>
      <c r="BM43" s="8"/>
      <c r="BN43" s="8">
        <v>0</v>
      </c>
      <c r="BO43" s="8"/>
      <c r="BP43" s="13">
        <f>SUM(H43:BO43)</f>
        <v>208</v>
      </c>
      <c r="BQ43" s="13">
        <f>Table1[[#This Row],[Grand Total]]*Table1[[#This Row],[Preț estimat cu TVA]]</f>
        <v>10709.92</v>
      </c>
      <c r="BR43" s="13">
        <f>Table1[[#This Row],[Suma cu TVA]]/1.2</f>
        <v>8924.9333333333343</v>
      </c>
      <c r="BS43" s="16">
        <f>ROUNDUP(Table1[[#This Row],[Valoarea fără TVA]],2)</f>
        <v>8924.94</v>
      </c>
    </row>
    <row r="44" spans="1:71" ht="27" customHeight="1" x14ac:dyDescent="0.25">
      <c r="A44" s="8">
        <v>134</v>
      </c>
      <c r="B44" s="9">
        <v>127</v>
      </c>
      <c r="C44" s="9">
        <v>43</v>
      </c>
      <c r="D44" s="10" t="s">
        <v>157</v>
      </c>
      <c r="E44" s="1" t="s">
        <v>158</v>
      </c>
      <c r="F44" s="8" t="s">
        <v>73</v>
      </c>
      <c r="G44" s="17">
        <v>50.3</v>
      </c>
      <c r="H44" s="8"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v>0</v>
      </c>
      <c r="T44" s="8"/>
      <c r="U44" s="8"/>
      <c r="V44" s="8">
        <v>0</v>
      </c>
      <c r="W44" s="8"/>
      <c r="X44" s="8"/>
      <c r="Y44" s="8"/>
      <c r="Z44" s="8">
        <v>0</v>
      </c>
      <c r="AA44" s="8"/>
      <c r="AB44" s="8">
        <v>0</v>
      </c>
      <c r="AC44" s="8"/>
      <c r="AD44" s="8"/>
      <c r="AE44" s="8">
        <v>108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>
        <v>0</v>
      </c>
      <c r="AZ44" s="8"/>
      <c r="BA44" s="8"/>
      <c r="BB44" s="8"/>
      <c r="BC44" s="8"/>
      <c r="BD44" s="8"/>
      <c r="BE44" s="8"/>
      <c r="BF44" s="8"/>
      <c r="BG44" s="8">
        <v>0</v>
      </c>
      <c r="BH44" s="8"/>
      <c r="BI44" s="8"/>
      <c r="BJ44" s="8"/>
      <c r="BK44" s="8"/>
      <c r="BL44" s="8"/>
      <c r="BM44" s="8"/>
      <c r="BN44" s="8">
        <v>0</v>
      </c>
      <c r="BO44" s="8"/>
      <c r="BP44" s="13">
        <f>SUM(H44:BO44)</f>
        <v>108</v>
      </c>
      <c r="BQ44" s="13">
        <f>Table1[[#This Row],[Grand Total]]*Table1[[#This Row],[Preț estimat cu TVA]]</f>
        <v>5432.4</v>
      </c>
      <c r="BR44" s="13">
        <f>Table1[[#This Row],[Suma cu TVA]]/1.2</f>
        <v>4527</v>
      </c>
      <c r="BS44" s="16">
        <f>ROUNDUP(Table1[[#This Row],[Valoarea fără TVA]],2)</f>
        <v>4527</v>
      </c>
    </row>
    <row r="45" spans="1:71" ht="27" customHeight="1" x14ac:dyDescent="0.25">
      <c r="A45" s="8">
        <v>135</v>
      </c>
      <c r="B45" s="9">
        <v>128</v>
      </c>
      <c r="C45" s="9">
        <v>44</v>
      </c>
      <c r="D45" s="10" t="s">
        <v>159</v>
      </c>
      <c r="E45" s="1" t="s">
        <v>160</v>
      </c>
      <c r="F45" s="8" t="s">
        <v>73</v>
      </c>
      <c r="G45" s="8">
        <v>40.89</v>
      </c>
      <c r="H45" s="8"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0</v>
      </c>
      <c r="T45" s="8"/>
      <c r="U45" s="8"/>
      <c r="V45" s="8">
        <v>0</v>
      </c>
      <c r="W45" s="8"/>
      <c r="X45" s="8"/>
      <c r="Y45" s="8"/>
      <c r="Z45" s="8">
        <v>0</v>
      </c>
      <c r="AA45" s="8"/>
      <c r="AB45" s="8">
        <v>0</v>
      </c>
      <c r="AC45" s="8"/>
      <c r="AD45" s="8"/>
      <c r="AE45" s="8">
        <v>72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>
        <v>0</v>
      </c>
      <c r="AZ45" s="8"/>
      <c r="BA45" s="8"/>
      <c r="BB45" s="8"/>
      <c r="BC45" s="8"/>
      <c r="BD45" s="8"/>
      <c r="BE45" s="8"/>
      <c r="BF45" s="8"/>
      <c r="BG45" s="8">
        <v>0</v>
      </c>
      <c r="BH45" s="8"/>
      <c r="BI45" s="8"/>
      <c r="BJ45" s="8"/>
      <c r="BK45" s="8"/>
      <c r="BL45" s="8"/>
      <c r="BM45" s="8"/>
      <c r="BN45" s="8">
        <v>0</v>
      </c>
      <c r="BO45" s="8"/>
      <c r="BP45" s="13">
        <f>SUM(H45:BO45)</f>
        <v>72</v>
      </c>
      <c r="BQ45" s="13">
        <f>Table1[[#This Row],[Grand Total]]*Table1[[#This Row],[Preț estimat cu TVA]]</f>
        <v>2944.08</v>
      </c>
      <c r="BR45" s="13">
        <f>Table1[[#This Row],[Suma cu TVA]]/1.2</f>
        <v>2453.4</v>
      </c>
      <c r="BS45" s="16">
        <f>ROUNDUP(Table1[[#This Row],[Valoarea fără TVA]],2)</f>
        <v>2453.4</v>
      </c>
    </row>
    <row r="46" spans="1:71" ht="27" customHeight="1" x14ac:dyDescent="0.25">
      <c r="A46" s="8">
        <v>137</v>
      </c>
      <c r="B46" s="9">
        <v>130</v>
      </c>
      <c r="C46" s="9">
        <v>45</v>
      </c>
      <c r="D46" s="10" t="s">
        <v>161</v>
      </c>
      <c r="E46" s="1" t="s">
        <v>162</v>
      </c>
      <c r="F46" s="8" t="s">
        <v>73</v>
      </c>
      <c r="G46" s="8">
        <v>52.85</v>
      </c>
      <c r="H46" s="8"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0</v>
      </c>
      <c r="T46" s="8"/>
      <c r="U46" s="8"/>
      <c r="V46" s="8">
        <v>0</v>
      </c>
      <c r="W46" s="8"/>
      <c r="X46" s="8"/>
      <c r="Y46" s="8"/>
      <c r="Z46" s="8">
        <v>0</v>
      </c>
      <c r="AA46" s="8"/>
      <c r="AB46" s="8">
        <v>0</v>
      </c>
      <c r="AC46" s="8"/>
      <c r="AD46" s="8"/>
      <c r="AE46" s="8">
        <v>300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>
        <v>0</v>
      </c>
      <c r="AZ46" s="8"/>
      <c r="BA46" s="8"/>
      <c r="BB46" s="8"/>
      <c r="BC46" s="8"/>
      <c r="BD46" s="8"/>
      <c r="BE46" s="8"/>
      <c r="BF46" s="8"/>
      <c r="BG46" s="8">
        <v>0</v>
      </c>
      <c r="BH46" s="8"/>
      <c r="BI46" s="8"/>
      <c r="BJ46" s="8"/>
      <c r="BK46" s="8"/>
      <c r="BL46" s="8"/>
      <c r="BM46" s="8"/>
      <c r="BN46" s="8">
        <v>0</v>
      </c>
      <c r="BO46" s="8"/>
      <c r="BP46" s="13">
        <f>SUM(H46:BO46)</f>
        <v>300</v>
      </c>
      <c r="BQ46" s="13">
        <f>Table1[[#This Row],[Grand Total]]*Table1[[#This Row],[Preț estimat cu TVA]]</f>
        <v>15855</v>
      </c>
      <c r="BR46" s="13">
        <f>Table1[[#This Row],[Suma cu TVA]]/1.2</f>
        <v>13212.5</v>
      </c>
      <c r="BS46" s="16">
        <f>ROUNDUP(Table1[[#This Row],[Valoarea fără TVA]],2)</f>
        <v>13212.5</v>
      </c>
    </row>
    <row r="47" spans="1:71" ht="27" customHeight="1" x14ac:dyDescent="0.25">
      <c r="A47" s="8">
        <v>145</v>
      </c>
      <c r="B47" s="9">
        <v>136</v>
      </c>
      <c r="C47" s="9">
        <v>46</v>
      </c>
      <c r="D47" s="10" t="s">
        <v>163</v>
      </c>
      <c r="E47" s="1" t="s">
        <v>164</v>
      </c>
      <c r="F47" s="8" t="s">
        <v>165</v>
      </c>
      <c r="G47" s="17">
        <v>3.78</v>
      </c>
      <c r="H47" s="11">
        <v>60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>
        <v>0</v>
      </c>
      <c r="T47" s="8"/>
      <c r="U47" s="8"/>
      <c r="V47" s="8">
        <v>0</v>
      </c>
      <c r="W47" s="8"/>
      <c r="X47" s="8"/>
      <c r="Y47" s="8"/>
      <c r="Z47" s="8">
        <v>0</v>
      </c>
      <c r="AA47" s="8"/>
      <c r="AB47" s="8">
        <v>60</v>
      </c>
      <c r="AC47" s="8"/>
      <c r="AD47" s="8"/>
      <c r="AE47" s="8">
        <v>240</v>
      </c>
      <c r="AF47" s="8"/>
      <c r="AG47" s="11">
        <v>12</v>
      </c>
      <c r="AH47" s="8"/>
      <c r="AI47" s="11">
        <v>48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>
        <v>0</v>
      </c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>
        <v>0</v>
      </c>
      <c r="BO47" s="8"/>
      <c r="BP47" s="13">
        <f>SUM(H47:BO47)</f>
        <v>420</v>
      </c>
      <c r="BQ47" s="13">
        <f>Table1[[#This Row],[Grand Total]]*Table1[[#This Row],[Preț estimat cu TVA]]</f>
        <v>1587.6</v>
      </c>
      <c r="BR47" s="13">
        <f>Table1[[#This Row],[Suma cu TVA]]/1.2</f>
        <v>1323</v>
      </c>
      <c r="BS47" s="16">
        <f>ROUNDUP(Table1[[#This Row],[Valoarea fără TVA]],2)</f>
        <v>1323</v>
      </c>
    </row>
    <row r="48" spans="1:71" ht="27" customHeight="1" x14ac:dyDescent="0.25">
      <c r="A48" s="8">
        <v>164</v>
      </c>
      <c r="B48" s="9">
        <v>155</v>
      </c>
      <c r="C48" s="9">
        <v>47</v>
      </c>
      <c r="D48" s="10" t="s">
        <v>166</v>
      </c>
      <c r="E48" s="1" t="s">
        <v>167</v>
      </c>
      <c r="F48" s="8" t="s">
        <v>73</v>
      </c>
      <c r="G48" s="8">
        <v>51.25</v>
      </c>
      <c r="H48" s="8"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>
        <v>0</v>
      </c>
      <c r="T48" s="8"/>
      <c r="U48" s="8"/>
      <c r="V48" s="8">
        <v>0</v>
      </c>
      <c r="W48" s="8"/>
      <c r="X48" s="8"/>
      <c r="Y48" s="8"/>
      <c r="Z48" s="8">
        <v>0</v>
      </c>
      <c r="AA48" s="8"/>
      <c r="AB48" s="8">
        <v>0</v>
      </c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11">
        <v>12</v>
      </c>
      <c r="AU48" s="8"/>
      <c r="AV48" s="8"/>
      <c r="AW48" s="8"/>
      <c r="AX48" s="8"/>
      <c r="AY48" s="8">
        <v>0</v>
      </c>
      <c r="AZ48" s="8"/>
      <c r="BA48" s="8"/>
      <c r="BB48" s="8"/>
      <c r="BC48" s="8"/>
      <c r="BD48" s="8"/>
      <c r="BE48" s="8"/>
      <c r="BF48" s="8"/>
      <c r="BG48" s="8">
        <v>0</v>
      </c>
      <c r="BH48" s="8"/>
      <c r="BI48" s="8"/>
      <c r="BJ48" s="8"/>
      <c r="BK48" s="8"/>
      <c r="BL48" s="8"/>
      <c r="BM48" s="8"/>
      <c r="BN48" s="8">
        <v>0</v>
      </c>
      <c r="BO48" s="8"/>
      <c r="BP48" s="13">
        <f>SUM(H48:BO48)</f>
        <v>12</v>
      </c>
      <c r="BQ48" s="13">
        <f>Table1[[#This Row],[Grand Total]]*Table1[[#This Row],[Preț estimat cu TVA]]</f>
        <v>615</v>
      </c>
      <c r="BR48" s="13">
        <f>Table1[[#This Row],[Suma cu TVA]]/1.2</f>
        <v>512.5</v>
      </c>
      <c r="BS48" s="16">
        <f>ROUNDUP(Table1[[#This Row],[Valoarea fără TVA]],2)</f>
        <v>512.5</v>
      </c>
    </row>
    <row r="49" spans="1:71" ht="27" customHeight="1" x14ac:dyDescent="0.25">
      <c r="A49" s="8">
        <v>178</v>
      </c>
      <c r="B49" s="9">
        <v>167</v>
      </c>
      <c r="C49" s="9">
        <v>48</v>
      </c>
      <c r="D49" s="10" t="s">
        <v>168</v>
      </c>
      <c r="E49" s="1" t="s">
        <v>169</v>
      </c>
      <c r="F49" s="8" t="s">
        <v>73</v>
      </c>
      <c r="G49" s="8">
        <v>30.774999999999999</v>
      </c>
      <c r="H49" s="8"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0</v>
      </c>
      <c r="T49" s="8"/>
      <c r="U49" s="8"/>
      <c r="V49" s="11">
        <v>24</v>
      </c>
      <c r="W49" s="8"/>
      <c r="X49" s="8"/>
      <c r="Y49" s="8"/>
      <c r="Z49" s="8">
        <v>0</v>
      </c>
      <c r="AA49" s="8"/>
      <c r="AB49" s="8">
        <v>0</v>
      </c>
      <c r="AC49" s="11">
        <v>36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>
        <v>12</v>
      </c>
      <c r="AT49" s="8"/>
      <c r="AU49" s="8"/>
      <c r="AV49" s="8"/>
      <c r="AW49" s="8"/>
      <c r="AX49" s="8"/>
      <c r="AY49" s="8">
        <v>0</v>
      </c>
      <c r="AZ49" s="8"/>
      <c r="BA49" s="8"/>
      <c r="BB49" s="8"/>
      <c r="BC49" s="8"/>
      <c r="BD49" s="8"/>
      <c r="BE49" s="8"/>
      <c r="BF49" s="8"/>
      <c r="BG49" s="8">
        <v>0</v>
      </c>
      <c r="BH49" s="8"/>
      <c r="BI49" s="8"/>
      <c r="BJ49" s="11">
        <v>12</v>
      </c>
      <c r="BK49" s="8"/>
      <c r="BL49" s="8"/>
      <c r="BM49" s="8"/>
      <c r="BN49" s="8">
        <v>0</v>
      </c>
      <c r="BO49" s="8">
        <v>60</v>
      </c>
      <c r="BP49" s="13">
        <f>SUM(H49:BO49)</f>
        <v>144</v>
      </c>
      <c r="BQ49" s="13">
        <f>Table1[[#This Row],[Grand Total]]*Table1[[#This Row],[Preț estimat cu TVA]]</f>
        <v>4431.5999999999995</v>
      </c>
      <c r="BR49" s="13">
        <f>Table1[[#This Row],[Suma cu TVA]]/1.2</f>
        <v>3692.9999999999995</v>
      </c>
      <c r="BS49" s="16">
        <f>ROUNDUP(Table1[[#This Row],[Valoarea fără TVA]],2)</f>
        <v>3693</v>
      </c>
    </row>
    <row r="50" spans="1:71" ht="27" customHeight="1" x14ac:dyDescent="0.25">
      <c r="A50" s="8">
        <v>181</v>
      </c>
      <c r="B50" s="9">
        <v>170</v>
      </c>
      <c r="C50" s="9">
        <v>49</v>
      </c>
      <c r="D50" s="10" t="s">
        <v>170</v>
      </c>
      <c r="E50" s="1" t="s">
        <v>171</v>
      </c>
      <c r="F50" s="8" t="s">
        <v>73</v>
      </c>
      <c r="G50" s="8">
        <v>10.211499999999999</v>
      </c>
      <c r="H50" s="8"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>
        <v>0</v>
      </c>
      <c r="T50" s="8"/>
      <c r="U50" s="8"/>
      <c r="V50" s="8">
        <v>0</v>
      </c>
      <c r="W50" s="8"/>
      <c r="X50" s="8"/>
      <c r="Y50" s="8"/>
      <c r="Z50" s="8">
        <v>0</v>
      </c>
      <c r="AA50" s="8"/>
      <c r="AB50" s="8">
        <v>0</v>
      </c>
      <c r="AC50" s="8"/>
      <c r="AD50" s="8"/>
      <c r="AE50" s="8"/>
      <c r="AF50" s="8"/>
      <c r="AG50" s="8"/>
      <c r="AH50" s="8"/>
      <c r="AI50" s="11">
        <v>60</v>
      </c>
      <c r="AJ50" s="8"/>
      <c r="AK50" s="8"/>
      <c r="AL50" s="8"/>
      <c r="AM50" s="8"/>
      <c r="AN50" s="8"/>
      <c r="AO50" s="8"/>
      <c r="AP50" s="8"/>
      <c r="AQ50" s="8"/>
      <c r="AR50" s="8"/>
      <c r="AS50" s="8">
        <v>12</v>
      </c>
      <c r="AT50" s="8"/>
      <c r="AU50" s="8"/>
      <c r="AV50" s="8"/>
      <c r="AW50" s="8"/>
      <c r="AX50" s="8"/>
      <c r="AY50" s="8">
        <v>0</v>
      </c>
      <c r="AZ50" s="8"/>
      <c r="BA50" s="8"/>
      <c r="BB50" s="8"/>
      <c r="BC50" s="8"/>
      <c r="BD50" s="8"/>
      <c r="BE50" s="8"/>
      <c r="BF50" s="8"/>
      <c r="BG50" s="8">
        <v>0</v>
      </c>
      <c r="BH50" s="8"/>
      <c r="BI50" s="8"/>
      <c r="BJ50" s="11">
        <v>12</v>
      </c>
      <c r="BK50" s="8"/>
      <c r="BL50" s="8"/>
      <c r="BM50" s="11">
        <v>12</v>
      </c>
      <c r="BN50" s="8">
        <v>0</v>
      </c>
      <c r="BO50" s="8"/>
      <c r="BP50" s="13">
        <f>SUM(H50:BO50)</f>
        <v>96</v>
      </c>
      <c r="BQ50" s="13">
        <f>Table1[[#This Row],[Grand Total]]*Table1[[#This Row],[Preț estimat cu TVA]]</f>
        <v>980.30399999999986</v>
      </c>
      <c r="BR50" s="13">
        <f>Table1[[#This Row],[Suma cu TVA]]/1.2</f>
        <v>816.92</v>
      </c>
      <c r="BS50" s="16">
        <f>ROUNDUP(Table1[[#This Row],[Valoarea fără TVA]],2)</f>
        <v>816.92</v>
      </c>
    </row>
    <row r="51" spans="1:71" ht="27" customHeight="1" x14ac:dyDescent="0.25">
      <c r="A51" s="8">
        <v>183</v>
      </c>
      <c r="B51" s="9">
        <v>172</v>
      </c>
      <c r="C51" s="9">
        <v>50</v>
      </c>
      <c r="D51" s="10" t="s">
        <v>172</v>
      </c>
      <c r="E51" s="1" t="s">
        <v>173</v>
      </c>
      <c r="F51" s="8" t="s">
        <v>73</v>
      </c>
      <c r="G51" s="8">
        <v>9</v>
      </c>
      <c r="H51" s="8">
        <v>0</v>
      </c>
      <c r="I51" s="8"/>
      <c r="J51" s="8"/>
      <c r="K51" s="8"/>
      <c r="L51" s="8"/>
      <c r="M51" s="8"/>
      <c r="N51" s="8">
        <v>60</v>
      </c>
      <c r="O51" s="8"/>
      <c r="P51" s="8"/>
      <c r="Q51" s="8"/>
      <c r="R51" s="8"/>
      <c r="S51" s="8">
        <v>0</v>
      </c>
      <c r="T51" s="8">
        <v>60</v>
      </c>
      <c r="U51" s="8"/>
      <c r="V51" s="8">
        <v>0</v>
      </c>
      <c r="W51" s="8"/>
      <c r="X51" s="8"/>
      <c r="Y51" s="8"/>
      <c r="Z51" s="8">
        <v>0</v>
      </c>
      <c r="AA51" s="8"/>
      <c r="AB51" s="8">
        <v>0</v>
      </c>
      <c r="AC51" s="8"/>
      <c r="AD51" s="8"/>
      <c r="AE51" s="8"/>
      <c r="AF51" s="8"/>
      <c r="AG51" s="8"/>
      <c r="AH51" s="8"/>
      <c r="AI51" s="11">
        <v>12</v>
      </c>
      <c r="AJ51" s="8"/>
      <c r="AK51" s="8"/>
      <c r="AL51" s="8"/>
      <c r="AM51" s="8"/>
      <c r="AN51" s="8"/>
      <c r="AO51" s="8"/>
      <c r="AP51" s="8"/>
      <c r="AQ51" s="8">
        <v>12</v>
      </c>
      <c r="AR51" s="8"/>
      <c r="AS51" s="8"/>
      <c r="AT51" s="8"/>
      <c r="AU51" s="8"/>
      <c r="AV51" s="8"/>
      <c r="AW51" s="8"/>
      <c r="AX51" s="8"/>
      <c r="AY51" s="8">
        <v>0</v>
      </c>
      <c r="AZ51" s="8"/>
      <c r="BA51" s="8"/>
      <c r="BB51" s="8"/>
      <c r="BC51" s="8"/>
      <c r="BD51" s="8"/>
      <c r="BE51" s="8"/>
      <c r="BF51" s="8"/>
      <c r="BG51" s="8">
        <v>0</v>
      </c>
      <c r="BH51" s="8"/>
      <c r="BI51" s="8"/>
      <c r="BJ51" s="8"/>
      <c r="BK51" s="8"/>
      <c r="BL51" s="8"/>
      <c r="BM51" s="8"/>
      <c r="BN51" s="8">
        <v>0</v>
      </c>
      <c r="BO51" s="8"/>
      <c r="BP51" s="13">
        <f>SUM(H51:BO51)</f>
        <v>144</v>
      </c>
      <c r="BQ51" s="13">
        <f>Table1[[#This Row],[Grand Total]]*Table1[[#This Row],[Preț estimat cu TVA]]</f>
        <v>1296</v>
      </c>
      <c r="BR51" s="13">
        <f>Table1[[#This Row],[Suma cu TVA]]/1.2</f>
        <v>1080</v>
      </c>
      <c r="BS51" s="16">
        <f>ROUNDUP(Table1[[#This Row],[Valoarea fără TVA]],2)</f>
        <v>1080</v>
      </c>
    </row>
    <row r="52" spans="1:71" ht="27" customHeight="1" x14ac:dyDescent="0.25">
      <c r="A52" s="8">
        <v>185</v>
      </c>
      <c r="B52" s="9">
        <v>174</v>
      </c>
      <c r="C52" s="9">
        <v>51</v>
      </c>
      <c r="D52" s="10" t="s">
        <v>174</v>
      </c>
      <c r="E52" s="1" t="s">
        <v>175</v>
      </c>
      <c r="F52" s="8" t="s">
        <v>73</v>
      </c>
      <c r="G52" s="17">
        <v>102.32</v>
      </c>
      <c r="H52" s="8"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>
        <v>0</v>
      </c>
      <c r="T52" s="8"/>
      <c r="U52" s="8"/>
      <c r="V52" s="11">
        <v>60</v>
      </c>
      <c r="W52" s="8"/>
      <c r="X52" s="8"/>
      <c r="Y52" s="8"/>
      <c r="Z52" s="8">
        <v>0</v>
      </c>
      <c r="AA52" s="8"/>
      <c r="AB52" s="8">
        <v>0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11">
        <v>12</v>
      </c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>
        <v>0</v>
      </c>
      <c r="AZ52" s="8"/>
      <c r="BA52" s="8"/>
      <c r="BB52" s="8"/>
      <c r="BC52" s="8"/>
      <c r="BD52" s="8"/>
      <c r="BE52" s="8"/>
      <c r="BF52" s="8">
        <v>24</v>
      </c>
      <c r="BG52" s="8">
        <v>0</v>
      </c>
      <c r="BH52" s="8"/>
      <c r="BI52" s="8"/>
      <c r="BJ52" s="8"/>
      <c r="BK52" s="11">
        <v>12</v>
      </c>
      <c r="BL52" s="8"/>
      <c r="BM52" s="8"/>
      <c r="BN52" s="8">
        <v>0</v>
      </c>
      <c r="BO52" s="8"/>
      <c r="BP52" s="13">
        <f>SUM(H52:BO52)</f>
        <v>108</v>
      </c>
      <c r="BQ52" s="13">
        <f>Table1[[#This Row],[Grand Total]]*Table1[[#This Row],[Preț estimat cu TVA]]</f>
        <v>11050.56</v>
      </c>
      <c r="BR52" s="13">
        <f>Table1[[#This Row],[Suma cu TVA]]/1.2</f>
        <v>9208.7999999999993</v>
      </c>
      <c r="BS52" s="16">
        <f>ROUNDUP(Table1[[#This Row],[Valoarea fără TVA]],2)</f>
        <v>9208.7999999999993</v>
      </c>
    </row>
    <row r="53" spans="1:71" ht="27" customHeight="1" x14ac:dyDescent="0.25">
      <c r="A53" s="8">
        <v>192</v>
      </c>
      <c r="B53" s="9">
        <v>181</v>
      </c>
      <c r="C53" s="9">
        <v>52</v>
      </c>
      <c r="D53" s="10" t="s">
        <v>176</v>
      </c>
      <c r="E53" s="1" t="s">
        <v>177</v>
      </c>
      <c r="F53" s="8" t="s">
        <v>73</v>
      </c>
      <c r="G53" s="17">
        <v>330.79</v>
      </c>
      <c r="H53" s="8">
        <v>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>
        <v>0</v>
      </c>
      <c r="T53" s="8">
        <v>12</v>
      </c>
      <c r="U53" s="8"/>
      <c r="V53" s="8">
        <v>0</v>
      </c>
      <c r="W53" s="11">
        <v>60</v>
      </c>
      <c r="X53" s="8"/>
      <c r="Y53" s="8"/>
      <c r="Z53" s="8">
        <v>0</v>
      </c>
      <c r="AA53" s="8"/>
      <c r="AB53" s="8">
        <v>0</v>
      </c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>
        <v>0</v>
      </c>
      <c r="AZ53" s="8"/>
      <c r="BA53" s="8"/>
      <c r="BB53" s="8"/>
      <c r="BC53" s="8"/>
      <c r="BD53" s="8"/>
      <c r="BE53" s="8"/>
      <c r="BF53" s="8"/>
      <c r="BG53" s="8">
        <v>0</v>
      </c>
      <c r="BH53" s="8"/>
      <c r="BI53" s="8"/>
      <c r="BJ53" s="8"/>
      <c r="BK53" s="8"/>
      <c r="BL53" s="8"/>
      <c r="BM53" s="8"/>
      <c r="BN53" s="8">
        <v>0</v>
      </c>
      <c r="BO53" s="11">
        <v>12</v>
      </c>
      <c r="BP53" s="13">
        <f>SUM(H53:BO53)</f>
        <v>84</v>
      </c>
      <c r="BQ53" s="13">
        <f>Table1[[#This Row],[Grand Total]]*Table1[[#This Row],[Preț estimat cu TVA]]</f>
        <v>27786.36</v>
      </c>
      <c r="BR53" s="13">
        <f>Table1[[#This Row],[Suma cu TVA]]/1.2</f>
        <v>23155.300000000003</v>
      </c>
      <c r="BS53" s="16">
        <f>ROUNDUP(Table1[[#This Row],[Valoarea fără TVA]],2)</f>
        <v>23155.3</v>
      </c>
    </row>
    <row r="54" spans="1:71" ht="27" customHeight="1" x14ac:dyDescent="0.25">
      <c r="A54" s="8">
        <v>200</v>
      </c>
      <c r="B54" s="9">
        <v>189</v>
      </c>
      <c r="C54" s="9">
        <v>53</v>
      </c>
      <c r="D54" s="10" t="s">
        <v>178</v>
      </c>
      <c r="E54" s="1" t="s">
        <v>179</v>
      </c>
      <c r="F54" s="8" t="s">
        <v>73</v>
      </c>
      <c r="G54" s="8">
        <v>38.15</v>
      </c>
      <c r="H54" s="8">
        <v>0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>
        <v>0</v>
      </c>
      <c r="T54" s="8"/>
      <c r="U54" s="8"/>
      <c r="V54" s="8">
        <v>0</v>
      </c>
      <c r="W54" s="8"/>
      <c r="X54" s="8"/>
      <c r="Y54" s="8"/>
      <c r="Z54" s="8">
        <v>0</v>
      </c>
      <c r="AA54" s="8"/>
      <c r="AB54" s="8">
        <v>0</v>
      </c>
      <c r="AC54" s="8"/>
      <c r="AD54" s="8"/>
      <c r="AE54" s="8"/>
      <c r="AF54" s="8"/>
      <c r="AG54" s="8"/>
      <c r="AH54" s="8"/>
      <c r="AI54" s="8"/>
      <c r="AJ54" s="8"/>
      <c r="AK54" s="8"/>
      <c r="AL54" s="8">
        <v>24</v>
      </c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>
        <v>0</v>
      </c>
      <c r="AZ54" s="8"/>
      <c r="BA54" s="8"/>
      <c r="BB54" s="8"/>
      <c r="BC54" s="8"/>
      <c r="BD54" s="8"/>
      <c r="BE54" s="8"/>
      <c r="BF54" s="8"/>
      <c r="BG54" s="8">
        <v>0</v>
      </c>
      <c r="BH54" s="8"/>
      <c r="BI54" s="8"/>
      <c r="BJ54" s="8"/>
      <c r="BK54" s="8"/>
      <c r="BL54" s="8"/>
      <c r="BM54" s="8"/>
      <c r="BN54" s="8">
        <v>0</v>
      </c>
      <c r="BO54" s="8"/>
      <c r="BP54" s="13">
        <f>SUM(H54:BO54)</f>
        <v>24</v>
      </c>
      <c r="BQ54" s="13">
        <f>Table1[[#This Row],[Grand Total]]*Table1[[#This Row],[Preț estimat cu TVA]]</f>
        <v>915.59999999999991</v>
      </c>
      <c r="BR54" s="13">
        <f>Table1[[#This Row],[Suma cu TVA]]/1.2</f>
        <v>763</v>
      </c>
      <c r="BS54" s="16">
        <f>ROUNDUP(Table1[[#This Row],[Valoarea fără TVA]],2)</f>
        <v>763</v>
      </c>
    </row>
    <row r="55" spans="1:71" ht="27" customHeight="1" x14ac:dyDescent="0.25">
      <c r="A55" s="8">
        <v>214</v>
      </c>
      <c r="B55" s="9">
        <v>202</v>
      </c>
      <c r="C55" s="9">
        <v>54</v>
      </c>
      <c r="D55" s="10" t="s">
        <v>180</v>
      </c>
      <c r="E55" s="1" t="s">
        <v>181</v>
      </c>
      <c r="F55" s="8" t="s">
        <v>73</v>
      </c>
      <c r="G55" s="8">
        <v>9.8000000000000007</v>
      </c>
      <c r="H55" s="8">
        <v>0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>
        <v>0</v>
      </c>
      <c r="T55" s="8"/>
      <c r="U55" s="8">
        <v>156</v>
      </c>
      <c r="V55" s="8">
        <v>0</v>
      </c>
      <c r="W55" s="8"/>
      <c r="X55" s="8"/>
      <c r="Y55" s="8"/>
      <c r="Z55" s="8">
        <v>0</v>
      </c>
      <c r="AA55" s="8"/>
      <c r="AB55" s="8">
        <v>0</v>
      </c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>
        <v>12</v>
      </c>
      <c r="AS55" s="8"/>
      <c r="AT55" s="8"/>
      <c r="AU55" s="8">
        <v>108</v>
      </c>
      <c r="AV55" s="8"/>
      <c r="AW55" s="8"/>
      <c r="AX55" s="8"/>
      <c r="AY55" s="8">
        <v>0</v>
      </c>
      <c r="AZ55" s="8"/>
      <c r="BA55" s="8"/>
      <c r="BB55" s="8"/>
      <c r="BC55" s="8"/>
      <c r="BD55" s="8"/>
      <c r="BE55" s="8"/>
      <c r="BF55" s="8"/>
      <c r="BG55" s="8">
        <v>0</v>
      </c>
      <c r="BH55" s="8"/>
      <c r="BI55" s="8"/>
      <c r="BJ55" s="8"/>
      <c r="BK55" s="8"/>
      <c r="BL55" s="8"/>
      <c r="BM55" s="8"/>
      <c r="BN55" s="8">
        <v>0</v>
      </c>
      <c r="BO55" s="8"/>
      <c r="BP55" s="13">
        <f>SUM(H55:BO55)</f>
        <v>276</v>
      </c>
      <c r="BQ55" s="13">
        <f>Table1[[#This Row],[Grand Total]]*Table1[[#This Row],[Preț estimat cu TVA]]</f>
        <v>2704.8</v>
      </c>
      <c r="BR55" s="13">
        <f>Table1[[#This Row],[Suma cu TVA]]/1.2</f>
        <v>2254.0000000000005</v>
      </c>
      <c r="BS55" s="18">
        <f>ROUNDUP(Table1[[#This Row],[Valoarea fără TVA]],2)</f>
        <v>2254</v>
      </c>
    </row>
    <row r="56" spans="1:71" ht="27" customHeight="1" x14ac:dyDescent="0.25">
      <c r="A56" s="8">
        <v>231</v>
      </c>
      <c r="B56" s="9">
        <v>216</v>
      </c>
      <c r="C56" s="9">
        <v>55</v>
      </c>
      <c r="D56" s="10" t="s">
        <v>182</v>
      </c>
      <c r="E56" s="1" t="s">
        <v>183</v>
      </c>
      <c r="F56" s="8" t="s">
        <v>73</v>
      </c>
      <c r="G56" s="8">
        <v>69.999499999999998</v>
      </c>
      <c r="H56" s="8">
        <v>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>
        <v>0</v>
      </c>
      <c r="T56" s="8"/>
      <c r="U56" s="8"/>
      <c r="V56" s="8">
        <v>0</v>
      </c>
      <c r="W56" s="8"/>
      <c r="X56" s="8"/>
      <c r="Y56" s="8"/>
      <c r="Z56" s="8">
        <v>0</v>
      </c>
      <c r="AA56" s="8">
        <v>24</v>
      </c>
      <c r="AB56" s="8">
        <v>0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>
        <v>0</v>
      </c>
      <c r="AZ56" s="8"/>
      <c r="BA56" s="8"/>
      <c r="BB56" s="8"/>
      <c r="BC56" s="8"/>
      <c r="BD56" s="8"/>
      <c r="BE56" s="8"/>
      <c r="BF56" s="8"/>
      <c r="BG56" s="8">
        <v>0</v>
      </c>
      <c r="BH56" s="8"/>
      <c r="BI56" s="8"/>
      <c r="BJ56" s="8"/>
      <c r="BK56" s="8"/>
      <c r="BL56" s="8"/>
      <c r="BM56" s="8"/>
      <c r="BN56" s="8">
        <v>0</v>
      </c>
      <c r="BO56" s="8"/>
      <c r="BP56" s="13">
        <f>SUM(H56:BO56)</f>
        <v>24</v>
      </c>
      <c r="BQ56" s="13">
        <f>Table1[[#This Row],[Grand Total]]*Table1[[#This Row],[Preț estimat cu TVA]]</f>
        <v>1679.9879999999998</v>
      </c>
      <c r="BR56" s="13">
        <f>Table1[[#This Row],[Suma cu TVA]]/1.2</f>
        <v>1399.99</v>
      </c>
      <c r="BS56" s="16">
        <f>ROUNDUP(Table1[[#This Row],[Valoarea fără TVA]],2)</f>
        <v>1399.99</v>
      </c>
    </row>
    <row r="57" spans="1:71" ht="27" customHeight="1" x14ac:dyDescent="0.25">
      <c r="A57" s="8">
        <v>251</v>
      </c>
      <c r="B57" s="9">
        <v>236</v>
      </c>
      <c r="C57" s="9">
        <v>56</v>
      </c>
      <c r="D57" s="10" t="s">
        <v>184</v>
      </c>
      <c r="E57" s="1" t="s">
        <v>185</v>
      </c>
      <c r="F57" s="8" t="s">
        <v>73</v>
      </c>
      <c r="G57" s="8">
        <v>35.436</v>
      </c>
      <c r="H57" s="8">
        <v>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>
        <v>0</v>
      </c>
      <c r="T57" s="8">
        <v>108</v>
      </c>
      <c r="U57" s="8"/>
      <c r="V57" s="8">
        <v>24</v>
      </c>
      <c r="W57" s="8"/>
      <c r="X57" s="8"/>
      <c r="Y57" s="8"/>
      <c r="Z57" s="8">
        <v>0</v>
      </c>
      <c r="AA57" s="8">
        <v>24</v>
      </c>
      <c r="AB57" s="8">
        <v>0</v>
      </c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>
        <v>0</v>
      </c>
      <c r="AZ57" s="8"/>
      <c r="BA57" s="8"/>
      <c r="BB57" s="8"/>
      <c r="BC57" s="8"/>
      <c r="BD57" s="8"/>
      <c r="BE57" s="8"/>
      <c r="BF57" s="8"/>
      <c r="BG57" s="8">
        <v>0</v>
      </c>
      <c r="BH57" s="8"/>
      <c r="BI57" s="8"/>
      <c r="BJ57" s="8"/>
      <c r="BK57" s="8"/>
      <c r="BL57" s="8"/>
      <c r="BM57" s="8"/>
      <c r="BN57" s="8">
        <v>0</v>
      </c>
      <c r="BO57" s="8"/>
      <c r="BP57" s="13">
        <f>SUM(H57:BO57)</f>
        <v>156</v>
      </c>
      <c r="BQ57" s="13">
        <f>Table1[[#This Row],[Grand Total]]*Table1[[#This Row],[Preț estimat cu TVA]]</f>
        <v>5528.0159999999996</v>
      </c>
      <c r="BR57" s="13">
        <f>Table1[[#This Row],[Suma cu TVA]]/1.2</f>
        <v>4606.68</v>
      </c>
      <c r="BS57" s="16">
        <f>ROUNDUP(Table1[[#This Row],[Valoarea fără TVA]],2)</f>
        <v>4606.68</v>
      </c>
    </row>
    <row r="58" spans="1:71" ht="27" customHeight="1" x14ac:dyDescent="0.25">
      <c r="A58" s="8">
        <v>253</v>
      </c>
      <c r="B58" s="9">
        <v>238</v>
      </c>
      <c r="C58" s="9">
        <v>57</v>
      </c>
      <c r="D58" s="10" t="s">
        <v>186</v>
      </c>
      <c r="E58" s="1" t="s">
        <v>187</v>
      </c>
      <c r="F58" s="8" t="s">
        <v>73</v>
      </c>
      <c r="G58" s="8">
        <v>42.92</v>
      </c>
      <c r="H58" s="8">
        <v>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11">
        <v>360</v>
      </c>
      <c r="T58" s="8"/>
      <c r="U58" s="8"/>
      <c r="V58" s="8">
        <v>0</v>
      </c>
      <c r="W58" s="11">
        <v>108</v>
      </c>
      <c r="X58" s="8"/>
      <c r="Y58" s="8"/>
      <c r="Z58" s="8">
        <v>0</v>
      </c>
      <c r="AA58" s="8"/>
      <c r="AB58" s="8">
        <v>0</v>
      </c>
      <c r="AC58" s="8"/>
      <c r="AD58" s="8"/>
      <c r="AE58" s="8"/>
      <c r="AF58" s="8">
        <v>24</v>
      </c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>
        <v>12</v>
      </c>
      <c r="AR58" s="8"/>
      <c r="AS58" s="8"/>
      <c r="AT58" s="8"/>
      <c r="AU58" s="11">
        <v>36</v>
      </c>
      <c r="AV58" s="8"/>
      <c r="AW58" s="8"/>
      <c r="AX58" s="8"/>
      <c r="AY58" s="8">
        <v>0</v>
      </c>
      <c r="AZ58" s="8"/>
      <c r="BA58" s="8"/>
      <c r="BB58" s="8"/>
      <c r="BC58" s="8"/>
      <c r="BD58" s="8"/>
      <c r="BE58" s="8"/>
      <c r="BF58" s="8">
        <v>12</v>
      </c>
      <c r="BG58" s="8">
        <v>24</v>
      </c>
      <c r="BH58" s="8"/>
      <c r="BI58" s="8"/>
      <c r="BJ58" s="8"/>
      <c r="BK58" s="8">
        <v>72</v>
      </c>
      <c r="BL58" s="8">
        <v>12</v>
      </c>
      <c r="BM58" s="8"/>
      <c r="BN58" s="11">
        <v>60</v>
      </c>
      <c r="BO58" s="8"/>
      <c r="BP58" s="13">
        <f>SUM(H58:BO58)</f>
        <v>720</v>
      </c>
      <c r="BQ58" s="13">
        <f>Table1[[#This Row],[Grand Total]]*Table1[[#This Row],[Preț estimat cu TVA]]</f>
        <v>30902.400000000001</v>
      </c>
      <c r="BR58" s="13">
        <f>Table1[[#This Row],[Suma cu TVA]]/1.2</f>
        <v>25752.000000000004</v>
      </c>
      <c r="BS58" s="16">
        <f>ROUNDUP(Table1[[#This Row],[Valoarea fără TVA]],2)</f>
        <v>25752</v>
      </c>
    </row>
    <row r="59" spans="1:71" s="29" customFormat="1" ht="43.15" customHeight="1" x14ac:dyDescent="0.25">
      <c r="A59" s="19" t="s">
        <v>188</v>
      </c>
      <c r="B59" s="20">
        <v>1</v>
      </c>
      <c r="C59" s="9">
        <v>58</v>
      </c>
      <c r="D59" s="21" t="s">
        <v>189</v>
      </c>
      <c r="E59" s="22" t="s">
        <v>190</v>
      </c>
      <c r="F59" s="23" t="s">
        <v>73</v>
      </c>
      <c r="G59" s="24">
        <v>119.136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5"/>
      <c r="T59" s="19"/>
      <c r="U59" s="19"/>
      <c r="V59" s="19"/>
      <c r="W59" s="19"/>
      <c r="X59" s="19"/>
      <c r="Y59" s="19"/>
      <c r="Z59" s="19"/>
      <c r="AA59" s="19"/>
      <c r="AB59" s="19"/>
      <c r="AC59" s="19">
        <v>50</v>
      </c>
      <c r="AD59" s="19"/>
      <c r="AE59" s="26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3">
        <f t="shared" ref="BP59:BP109" si="1">SUM(H59:BO59)</f>
        <v>50</v>
      </c>
      <c r="BQ59" s="27">
        <f>Table1[[#This Row],[Grand Total]]*Table1[[#This Row],[Preț estimat cu TVA]]</f>
        <v>5956.8</v>
      </c>
      <c r="BR59" s="27">
        <f>Table1[[#This Row],[Suma cu TVA]]/1.2</f>
        <v>4964</v>
      </c>
      <c r="BS59" s="28">
        <f>ROUNDUP(Table1[[#This Row],[Valoarea fără TVA]],2)</f>
        <v>4964</v>
      </c>
    </row>
    <row r="60" spans="1:71" s="29" customFormat="1" ht="43.15" customHeight="1" x14ac:dyDescent="0.25">
      <c r="A60" s="19" t="s">
        <v>188</v>
      </c>
      <c r="B60" s="20">
        <v>2</v>
      </c>
      <c r="C60" s="9">
        <v>59</v>
      </c>
      <c r="D60" s="21" t="s">
        <v>191</v>
      </c>
      <c r="E60" s="22" t="s">
        <v>192</v>
      </c>
      <c r="F60" s="23" t="s">
        <v>73</v>
      </c>
      <c r="G60" s="24">
        <v>119.136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5"/>
      <c r="T60" s="19"/>
      <c r="U60" s="19"/>
      <c r="V60" s="19"/>
      <c r="W60" s="19"/>
      <c r="X60" s="19"/>
      <c r="Y60" s="19"/>
      <c r="Z60" s="19"/>
      <c r="AA60" s="19"/>
      <c r="AB60" s="19"/>
      <c r="AC60" s="19">
        <v>50</v>
      </c>
      <c r="AD60" s="19"/>
      <c r="AE60" s="26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3">
        <f t="shared" si="1"/>
        <v>50</v>
      </c>
      <c r="BQ60" s="27">
        <f>Table1[[#This Row],[Grand Total]]*Table1[[#This Row],[Preț estimat cu TVA]]</f>
        <v>5956.8</v>
      </c>
      <c r="BR60" s="27">
        <f>Table1[[#This Row],[Suma cu TVA]]/1.2</f>
        <v>4964</v>
      </c>
      <c r="BS60" s="28">
        <f>ROUNDUP(Table1[[#This Row],[Valoarea fără TVA]],2)</f>
        <v>4964</v>
      </c>
    </row>
    <row r="61" spans="1:71" s="29" customFormat="1" ht="43.15" customHeight="1" x14ac:dyDescent="0.25">
      <c r="A61" s="19" t="s">
        <v>188</v>
      </c>
      <c r="B61" s="20">
        <v>3</v>
      </c>
      <c r="C61" s="9">
        <v>60</v>
      </c>
      <c r="D61" s="21" t="s">
        <v>193</v>
      </c>
      <c r="E61" s="22" t="s">
        <v>194</v>
      </c>
      <c r="F61" s="23" t="s">
        <v>73</v>
      </c>
      <c r="G61" s="24">
        <v>95.399999999999991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5"/>
      <c r="T61" s="19"/>
      <c r="U61" s="19"/>
      <c r="V61" s="19"/>
      <c r="W61" s="19"/>
      <c r="X61" s="19"/>
      <c r="Y61" s="19"/>
      <c r="Z61" s="19"/>
      <c r="AA61" s="19"/>
      <c r="AB61" s="19"/>
      <c r="AC61" s="19">
        <v>50</v>
      </c>
      <c r="AD61" s="19"/>
      <c r="AE61" s="26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3">
        <f t="shared" si="1"/>
        <v>50</v>
      </c>
      <c r="BQ61" s="27">
        <f>Table1[[#This Row],[Grand Total]]*Table1[[#This Row],[Preț estimat cu TVA]]</f>
        <v>4770</v>
      </c>
      <c r="BR61" s="27">
        <f>Table1[[#This Row],[Suma cu TVA]]/1.2</f>
        <v>3975</v>
      </c>
      <c r="BS61" s="28">
        <f>ROUNDUP(Table1[[#This Row],[Valoarea fără TVA]],2)</f>
        <v>3975</v>
      </c>
    </row>
    <row r="62" spans="1:71" s="29" customFormat="1" ht="43.15" customHeight="1" x14ac:dyDescent="0.25">
      <c r="A62" s="19" t="s">
        <v>188</v>
      </c>
      <c r="B62" s="20">
        <v>4</v>
      </c>
      <c r="C62" s="9">
        <v>61</v>
      </c>
      <c r="D62" s="21" t="s">
        <v>195</v>
      </c>
      <c r="E62" s="30" t="s">
        <v>196</v>
      </c>
      <c r="F62" s="31" t="s">
        <v>73</v>
      </c>
      <c r="G62" s="24">
        <v>100</v>
      </c>
      <c r="H62" s="19"/>
      <c r="I62" s="19"/>
      <c r="J62" s="19"/>
      <c r="K62" s="19"/>
      <c r="L62" s="19"/>
      <c r="M62" s="19"/>
      <c r="N62" s="19"/>
      <c r="O62" s="19"/>
      <c r="P62" s="32"/>
      <c r="Q62" s="19"/>
      <c r="R62" s="19"/>
      <c r="S62" s="33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34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>
        <v>12</v>
      </c>
      <c r="BL62" s="19"/>
      <c r="BM62" s="19"/>
      <c r="BN62" s="19"/>
      <c r="BO62" s="19"/>
      <c r="BP62" s="13">
        <f t="shared" si="1"/>
        <v>12</v>
      </c>
      <c r="BQ62" s="27">
        <f>Table1[[#This Row],[Grand Total]]*Table1[[#This Row],[Preț estimat cu TVA]]</f>
        <v>1200</v>
      </c>
      <c r="BR62" s="27">
        <f>Table1[[#This Row],[Suma cu TVA]]/1.2</f>
        <v>1000</v>
      </c>
      <c r="BS62" s="28">
        <f>ROUNDUP(Table1[[#This Row],[Valoarea fără TVA]],2)</f>
        <v>1000</v>
      </c>
    </row>
    <row r="63" spans="1:71" s="29" customFormat="1" ht="43.15" customHeight="1" x14ac:dyDescent="0.25">
      <c r="A63" s="19" t="s">
        <v>188</v>
      </c>
      <c r="B63" s="20">
        <v>5</v>
      </c>
      <c r="C63" s="9">
        <v>62</v>
      </c>
      <c r="D63" s="21" t="s">
        <v>197</v>
      </c>
      <c r="E63" s="30" t="s">
        <v>198</v>
      </c>
      <c r="F63" s="31" t="s">
        <v>73</v>
      </c>
      <c r="G63" s="24">
        <v>100</v>
      </c>
      <c r="H63" s="19"/>
      <c r="I63" s="19"/>
      <c r="J63" s="19"/>
      <c r="K63" s="19"/>
      <c r="L63" s="19"/>
      <c r="M63" s="19"/>
      <c r="N63" s="19"/>
      <c r="O63" s="19"/>
      <c r="P63" s="32"/>
      <c r="Q63" s="19"/>
      <c r="R63" s="19"/>
      <c r="S63" s="33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34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>
        <v>12</v>
      </c>
      <c r="BL63" s="19"/>
      <c r="BM63" s="19"/>
      <c r="BN63" s="19"/>
      <c r="BO63" s="19"/>
      <c r="BP63" s="13">
        <f t="shared" si="1"/>
        <v>12</v>
      </c>
      <c r="BQ63" s="27">
        <f>Table1[[#This Row],[Grand Total]]*Table1[[#This Row],[Preț estimat cu TVA]]</f>
        <v>1200</v>
      </c>
      <c r="BR63" s="27">
        <f>Table1[[#This Row],[Suma cu TVA]]/1.2</f>
        <v>1000</v>
      </c>
      <c r="BS63" s="28">
        <f>ROUNDUP(Table1[[#This Row],[Valoarea fără TVA]],2)</f>
        <v>1000</v>
      </c>
    </row>
    <row r="64" spans="1:71" s="29" customFormat="1" ht="43.15" customHeight="1" x14ac:dyDescent="0.25">
      <c r="A64" s="19" t="s">
        <v>188</v>
      </c>
      <c r="B64" s="20">
        <v>6</v>
      </c>
      <c r="C64" s="9">
        <v>63</v>
      </c>
      <c r="D64" s="21" t="s">
        <v>199</v>
      </c>
      <c r="E64" s="22" t="s">
        <v>200</v>
      </c>
      <c r="F64" s="23" t="s">
        <v>73</v>
      </c>
      <c r="G64" s="24">
        <v>178.69199999999998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5"/>
      <c r="T64" s="19"/>
      <c r="U64" s="19"/>
      <c r="V64" s="19"/>
      <c r="W64" s="19"/>
      <c r="X64" s="19"/>
      <c r="Y64" s="19"/>
      <c r="Z64" s="19"/>
      <c r="AA64" s="19"/>
      <c r="AB64" s="19"/>
      <c r="AC64" s="19">
        <v>50</v>
      </c>
      <c r="AD64" s="19"/>
      <c r="AE64" s="26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3">
        <f t="shared" si="1"/>
        <v>50</v>
      </c>
      <c r="BQ64" s="27">
        <f>Table1[[#This Row],[Grand Total]]*Table1[[#This Row],[Preț estimat cu TVA]]</f>
        <v>8934.5999999999985</v>
      </c>
      <c r="BR64" s="27">
        <f>Table1[[#This Row],[Suma cu TVA]]/1.2</f>
        <v>7445.4999999999991</v>
      </c>
      <c r="BS64" s="28">
        <f>ROUNDUP(Table1[[#This Row],[Valoarea fără TVA]],2)</f>
        <v>7445.5</v>
      </c>
    </row>
    <row r="65" spans="1:71" s="29" customFormat="1" ht="43.15" customHeight="1" x14ac:dyDescent="0.25">
      <c r="A65" s="19" t="s">
        <v>188</v>
      </c>
      <c r="B65" s="20">
        <v>11</v>
      </c>
      <c r="C65" s="9">
        <v>64</v>
      </c>
      <c r="D65" s="21" t="s">
        <v>201</v>
      </c>
      <c r="E65" s="30" t="s">
        <v>202</v>
      </c>
      <c r="F65" s="35" t="s">
        <v>73</v>
      </c>
      <c r="G65" s="24">
        <v>67.449107599999991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32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34">
        <v>50</v>
      </c>
      <c r="AF65" s="32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3">
        <f t="shared" si="1"/>
        <v>50</v>
      </c>
      <c r="BQ65" s="27">
        <f>Table1[[#This Row],[Grand Total]]*Table1[[#This Row],[Preț estimat cu TVA]]</f>
        <v>3372.4553799999994</v>
      </c>
      <c r="BR65" s="27">
        <f>Table1[[#This Row],[Suma cu TVA]]/1.2</f>
        <v>2810.3794833333332</v>
      </c>
      <c r="BS65" s="28">
        <f>ROUNDUP(Table1[[#This Row],[Valoarea fără TVA]],2)</f>
        <v>2810.38</v>
      </c>
    </row>
    <row r="66" spans="1:71" s="29" customFormat="1" ht="43.15" customHeight="1" x14ac:dyDescent="0.25">
      <c r="A66" s="19" t="s">
        <v>188</v>
      </c>
      <c r="B66" s="20">
        <v>12</v>
      </c>
      <c r="C66" s="9">
        <v>65</v>
      </c>
      <c r="D66" s="21" t="s">
        <v>203</v>
      </c>
      <c r="E66" s="30" t="s">
        <v>204</v>
      </c>
      <c r="F66" s="35" t="s">
        <v>73</v>
      </c>
      <c r="G66" s="24">
        <v>64.170943638554206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32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34">
        <v>4150</v>
      </c>
      <c r="AF66" s="36"/>
      <c r="AG66" s="19"/>
      <c r="AH66" s="19"/>
      <c r="AI66" s="19"/>
      <c r="AJ66" s="19"/>
      <c r="AK66" s="19"/>
      <c r="AL66" s="19"/>
      <c r="AM66" s="19"/>
      <c r="AN66" s="19"/>
      <c r="AO66" s="19">
        <v>300</v>
      </c>
      <c r="AP66" s="19"/>
      <c r="AQ66" s="32">
        <v>60</v>
      </c>
      <c r="AR66" s="19"/>
      <c r="AS66" s="19"/>
      <c r="AT66" s="19"/>
      <c r="AU66" s="25">
        <v>50</v>
      </c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32"/>
      <c r="BL66" s="19"/>
      <c r="BM66" s="19"/>
      <c r="BN66" s="19"/>
      <c r="BO66" s="19"/>
      <c r="BP66" s="13">
        <f t="shared" si="1"/>
        <v>4560</v>
      </c>
      <c r="BQ66" s="27">
        <f>Table1[[#This Row],[Grand Total]]*Table1[[#This Row],[Preț estimat cu TVA]]</f>
        <v>292619.50299180718</v>
      </c>
      <c r="BR66" s="27">
        <f>Table1[[#This Row],[Suma cu TVA]]/1.2</f>
        <v>243849.58582650599</v>
      </c>
      <c r="BS66" s="28">
        <f>ROUNDUP(Table1[[#This Row],[Valoarea fără TVA]],2)</f>
        <v>243849.59</v>
      </c>
    </row>
    <row r="67" spans="1:71" s="29" customFormat="1" ht="43.15" customHeight="1" x14ac:dyDescent="0.25">
      <c r="A67" s="19" t="s">
        <v>188</v>
      </c>
      <c r="B67" s="20">
        <v>13</v>
      </c>
      <c r="C67" s="9">
        <v>66</v>
      </c>
      <c r="D67" s="21" t="s">
        <v>205</v>
      </c>
      <c r="E67" s="30" t="s">
        <v>206</v>
      </c>
      <c r="F67" s="31" t="s">
        <v>73</v>
      </c>
      <c r="G67" s="24">
        <v>80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32"/>
      <c r="T67" s="19">
        <v>4000</v>
      </c>
      <c r="U67" s="19"/>
      <c r="V67" s="32"/>
      <c r="W67" s="19"/>
      <c r="X67" s="19"/>
      <c r="Y67" s="19"/>
      <c r="Z67" s="19"/>
      <c r="AA67" s="19"/>
      <c r="AB67" s="19"/>
      <c r="AC67" s="19"/>
      <c r="AD67" s="19"/>
      <c r="AE67" s="34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3">
        <f t="shared" si="1"/>
        <v>4000</v>
      </c>
      <c r="BQ67" s="27">
        <f>Table1[[#This Row],[Grand Total]]*Table1[[#This Row],[Preț estimat cu TVA]]</f>
        <v>320000</v>
      </c>
      <c r="BR67" s="27">
        <f>Table1[[#This Row],[Suma cu TVA]]/1.2</f>
        <v>266666.66666666669</v>
      </c>
      <c r="BS67" s="28">
        <f>ROUNDUP(Table1[[#This Row],[Valoarea fără TVA]],2)</f>
        <v>266666.67</v>
      </c>
    </row>
    <row r="68" spans="1:71" s="29" customFormat="1" ht="43.15" customHeight="1" x14ac:dyDescent="0.25">
      <c r="A68" s="19" t="s">
        <v>188</v>
      </c>
      <c r="B68" s="20">
        <v>14</v>
      </c>
      <c r="C68" s="9">
        <v>67</v>
      </c>
      <c r="D68" s="21" t="s">
        <v>207</v>
      </c>
      <c r="E68" s="30" t="s">
        <v>208</v>
      </c>
      <c r="F68" s="35" t="s">
        <v>73</v>
      </c>
      <c r="G68" s="24">
        <v>64.801861051212938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32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34">
        <v>2968</v>
      </c>
      <c r="AF68" s="36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>
        <v>30</v>
      </c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32"/>
      <c r="BL68" s="19"/>
      <c r="BM68" s="19"/>
      <c r="BN68" s="19"/>
      <c r="BO68" s="19"/>
      <c r="BP68" s="13">
        <f t="shared" si="1"/>
        <v>2998</v>
      </c>
      <c r="BQ68" s="27">
        <f>Table1[[#This Row],[Grand Total]]*Table1[[#This Row],[Preț estimat cu TVA]]</f>
        <v>194275.9794315364</v>
      </c>
      <c r="BR68" s="27">
        <f>Table1[[#This Row],[Suma cu TVA]]/1.2</f>
        <v>161896.64952628035</v>
      </c>
      <c r="BS68" s="28">
        <f>ROUNDUP(Table1[[#This Row],[Valoarea fără TVA]],2)</f>
        <v>161896.65000000002</v>
      </c>
    </row>
    <row r="69" spans="1:71" s="29" customFormat="1" ht="43.15" customHeight="1" x14ac:dyDescent="0.25">
      <c r="A69" s="19" t="s">
        <v>188</v>
      </c>
      <c r="B69" s="20">
        <v>15</v>
      </c>
      <c r="C69" s="9">
        <v>68</v>
      </c>
      <c r="D69" s="21" t="s">
        <v>209</v>
      </c>
      <c r="E69" s="30" t="s">
        <v>210</v>
      </c>
      <c r="F69" s="35" t="s">
        <v>73</v>
      </c>
      <c r="G69" s="24">
        <v>130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37"/>
      <c r="T69" s="19"/>
      <c r="U69" s="19"/>
      <c r="V69" s="19"/>
      <c r="W69" s="19">
        <v>120</v>
      </c>
      <c r="X69" s="19"/>
      <c r="Y69" s="19"/>
      <c r="Z69" s="19"/>
      <c r="AA69" s="19"/>
      <c r="AB69" s="32"/>
      <c r="AC69" s="19"/>
      <c r="AD69" s="19"/>
      <c r="AE69" s="34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3">
        <f t="shared" si="1"/>
        <v>120</v>
      </c>
      <c r="BQ69" s="27">
        <f>Table1[[#This Row],[Grand Total]]*Table1[[#This Row],[Preț estimat cu TVA]]</f>
        <v>15600</v>
      </c>
      <c r="BR69" s="27">
        <f>Table1[[#This Row],[Suma cu TVA]]/1.2</f>
        <v>13000</v>
      </c>
      <c r="BS69" s="28">
        <f>ROUNDUP(Table1[[#This Row],[Valoarea fără TVA]],2)</f>
        <v>13000</v>
      </c>
    </row>
    <row r="70" spans="1:71" s="29" customFormat="1" ht="43.15" customHeight="1" x14ac:dyDescent="0.25">
      <c r="A70" s="19" t="s">
        <v>188</v>
      </c>
      <c r="B70" s="20">
        <v>16</v>
      </c>
      <c r="C70" s="9">
        <v>69</v>
      </c>
      <c r="D70" s="21" t="s">
        <v>211</v>
      </c>
      <c r="E70" s="30" t="s">
        <v>212</v>
      </c>
      <c r="F70" s="31" t="s">
        <v>73</v>
      </c>
      <c r="G70" s="24">
        <v>180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32"/>
      <c r="T70" s="19">
        <v>36</v>
      </c>
      <c r="U70" s="19"/>
      <c r="V70" s="32"/>
      <c r="W70" s="19"/>
      <c r="X70" s="19"/>
      <c r="Y70" s="19"/>
      <c r="Z70" s="19"/>
      <c r="AA70" s="19"/>
      <c r="AB70" s="19"/>
      <c r="AC70" s="19"/>
      <c r="AD70" s="19"/>
      <c r="AE70" s="34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3">
        <f t="shared" si="1"/>
        <v>36</v>
      </c>
      <c r="BQ70" s="27">
        <f>Table1[[#This Row],[Grand Total]]*Table1[[#This Row],[Preț estimat cu TVA]]</f>
        <v>6480</v>
      </c>
      <c r="BR70" s="27">
        <f>Table1[[#This Row],[Suma cu TVA]]/1.2</f>
        <v>5400</v>
      </c>
      <c r="BS70" s="28">
        <f>ROUNDUP(Table1[[#This Row],[Valoarea fără TVA]],2)</f>
        <v>5400</v>
      </c>
    </row>
    <row r="71" spans="1:71" s="29" customFormat="1" ht="43.15" customHeight="1" x14ac:dyDescent="0.25">
      <c r="A71" s="19" t="s">
        <v>188</v>
      </c>
      <c r="B71" s="20">
        <v>17</v>
      </c>
      <c r="C71" s="9">
        <v>70</v>
      </c>
      <c r="D71" s="21" t="s">
        <v>213</v>
      </c>
      <c r="E71" s="30" t="s">
        <v>214</v>
      </c>
      <c r="F71" s="35" t="s">
        <v>73</v>
      </c>
      <c r="G71" s="24">
        <v>52.9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32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34">
        <v>100</v>
      </c>
      <c r="AF71" s="32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3">
        <f t="shared" si="1"/>
        <v>100</v>
      </c>
      <c r="BQ71" s="27">
        <f>Table1[[#This Row],[Grand Total]]*Table1[[#This Row],[Preț estimat cu TVA]]</f>
        <v>5290</v>
      </c>
      <c r="BR71" s="27">
        <f>Table1[[#This Row],[Suma cu TVA]]/1.2</f>
        <v>4408.3333333333339</v>
      </c>
      <c r="BS71" s="28">
        <f>ROUNDUP(Table1[[#This Row],[Valoarea fără TVA]],2)</f>
        <v>4408.34</v>
      </c>
    </row>
    <row r="72" spans="1:71" s="29" customFormat="1" ht="43.15" customHeight="1" x14ac:dyDescent="0.25">
      <c r="A72" s="19" t="s">
        <v>188</v>
      </c>
      <c r="B72" s="20">
        <v>18</v>
      </c>
      <c r="C72" s="9">
        <v>71</v>
      </c>
      <c r="D72" s="21" t="s">
        <v>213</v>
      </c>
      <c r="E72" s="30" t="s">
        <v>215</v>
      </c>
      <c r="F72" s="35" t="s">
        <v>73</v>
      </c>
      <c r="G72" s="24">
        <v>52.9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32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34">
        <v>100</v>
      </c>
      <c r="AF72" s="32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3">
        <f t="shared" si="1"/>
        <v>100</v>
      </c>
      <c r="BQ72" s="27">
        <f>Table1[[#This Row],[Grand Total]]*Table1[[#This Row],[Preț estimat cu TVA]]</f>
        <v>5290</v>
      </c>
      <c r="BR72" s="27">
        <f>Table1[[#This Row],[Suma cu TVA]]/1.2</f>
        <v>4408.3333333333339</v>
      </c>
      <c r="BS72" s="28">
        <f>ROUNDUP(Table1[[#This Row],[Valoarea fără TVA]],2)</f>
        <v>4408.34</v>
      </c>
    </row>
    <row r="73" spans="1:71" s="29" customFormat="1" ht="43.15" customHeight="1" x14ac:dyDescent="0.25">
      <c r="A73" s="19" t="s">
        <v>188</v>
      </c>
      <c r="B73" s="20">
        <v>19</v>
      </c>
      <c r="C73" s="9">
        <v>72</v>
      </c>
      <c r="D73" s="21" t="s">
        <v>216</v>
      </c>
      <c r="E73" s="30" t="s">
        <v>217</v>
      </c>
      <c r="F73" s="35" t="s">
        <v>73</v>
      </c>
      <c r="G73" s="24">
        <v>34.06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2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34">
        <v>100</v>
      </c>
      <c r="AF73" s="32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3">
        <f t="shared" si="1"/>
        <v>100</v>
      </c>
      <c r="BQ73" s="27">
        <f>Table1[[#This Row],[Grand Total]]*Table1[[#This Row],[Preț estimat cu TVA]]</f>
        <v>3406</v>
      </c>
      <c r="BR73" s="27">
        <f>Table1[[#This Row],[Suma cu TVA]]/1.2</f>
        <v>2838.3333333333335</v>
      </c>
      <c r="BS73" s="28">
        <f>ROUNDUP(Table1[[#This Row],[Valoarea fără TVA]],2)</f>
        <v>2838.34</v>
      </c>
    </row>
    <row r="74" spans="1:71" s="29" customFormat="1" ht="43.15" customHeight="1" x14ac:dyDescent="0.25">
      <c r="A74" s="19" t="s">
        <v>188</v>
      </c>
      <c r="B74" s="20">
        <v>20</v>
      </c>
      <c r="C74" s="9">
        <v>73</v>
      </c>
      <c r="D74" s="21" t="s">
        <v>216</v>
      </c>
      <c r="E74" s="30" t="s">
        <v>218</v>
      </c>
      <c r="F74" s="35" t="s">
        <v>73</v>
      </c>
      <c r="G74" s="24">
        <v>34.06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32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34">
        <v>100</v>
      </c>
      <c r="AF74" s="32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3">
        <f t="shared" si="1"/>
        <v>100</v>
      </c>
      <c r="BQ74" s="27">
        <f>Table1[[#This Row],[Grand Total]]*Table1[[#This Row],[Preț estimat cu TVA]]</f>
        <v>3406</v>
      </c>
      <c r="BR74" s="27">
        <f>Table1[[#This Row],[Suma cu TVA]]/1.2</f>
        <v>2838.3333333333335</v>
      </c>
      <c r="BS74" s="28">
        <f>ROUNDUP(Table1[[#This Row],[Valoarea fără TVA]],2)</f>
        <v>2838.34</v>
      </c>
    </row>
    <row r="75" spans="1:71" s="29" customFormat="1" ht="43.15" customHeight="1" x14ac:dyDescent="0.25">
      <c r="A75" s="19" t="s">
        <v>188</v>
      </c>
      <c r="B75" s="20">
        <v>21</v>
      </c>
      <c r="C75" s="9">
        <v>74</v>
      </c>
      <c r="D75" s="21" t="s">
        <v>219</v>
      </c>
      <c r="E75" s="30" t="s">
        <v>220</v>
      </c>
      <c r="F75" s="35" t="s">
        <v>73</v>
      </c>
      <c r="G75" s="24">
        <v>55.85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32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34">
        <v>180</v>
      </c>
      <c r="AF75" s="32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3">
        <f t="shared" si="1"/>
        <v>180</v>
      </c>
      <c r="BQ75" s="27">
        <f>Table1[[#This Row],[Grand Total]]*Table1[[#This Row],[Preț estimat cu TVA]]</f>
        <v>10053</v>
      </c>
      <c r="BR75" s="27">
        <f>Table1[[#This Row],[Suma cu TVA]]/1.2</f>
        <v>8377.5</v>
      </c>
      <c r="BS75" s="28">
        <f>ROUNDUP(Table1[[#This Row],[Valoarea fără TVA]],2)</f>
        <v>8377.5</v>
      </c>
    </row>
    <row r="76" spans="1:71" s="29" customFormat="1" ht="43.15" customHeight="1" x14ac:dyDescent="0.25">
      <c r="A76" s="19" t="s">
        <v>188</v>
      </c>
      <c r="B76" s="20">
        <v>22</v>
      </c>
      <c r="C76" s="9">
        <v>75</v>
      </c>
      <c r="D76" s="21" t="s">
        <v>221</v>
      </c>
      <c r="E76" s="30" t="s">
        <v>222</v>
      </c>
      <c r="F76" s="35" t="s">
        <v>73</v>
      </c>
      <c r="G76" s="24">
        <v>40.895984444444444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32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34">
        <v>72</v>
      </c>
      <c r="AF76" s="32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3">
        <f t="shared" si="1"/>
        <v>72</v>
      </c>
      <c r="BQ76" s="27">
        <f>Table1[[#This Row],[Grand Total]]*Table1[[#This Row],[Preț estimat cu TVA]]</f>
        <v>2944.5108799999998</v>
      </c>
      <c r="BR76" s="27">
        <f>Table1[[#This Row],[Suma cu TVA]]/1.2</f>
        <v>2453.7590666666665</v>
      </c>
      <c r="BS76" s="28">
        <f>ROUNDUP(Table1[[#This Row],[Valoarea fără TVA]],2)</f>
        <v>2453.7600000000002</v>
      </c>
    </row>
    <row r="77" spans="1:71" s="29" customFormat="1" ht="43.15" customHeight="1" x14ac:dyDescent="0.25">
      <c r="A77" s="19" t="s">
        <v>188</v>
      </c>
      <c r="B77" s="20">
        <v>23</v>
      </c>
      <c r="C77" s="9">
        <v>76</v>
      </c>
      <c r="D77" s="21" t="s">
        <v>223</v>
      </c>
      <c r="E77" s="30" t="s">
        <v>224</v>
      </c>
      <c r="F77" s="35" t="s">
        <v>73</v>
      </c>
      <c r="G77" s="24">
        <v>52.85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32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34">
        <v>120</v>
      </c>
      <c r="AF77" s="32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3">
        <f t="shared" si="1"/>
        <v>120</v>
      </c>
      <c r="BQ77" s="27">
        <f>Table1[[#This Row],[Grand Total]]*Table1[[#This Row],[Preț estimat cu TVA]]</f>
        <v>6342</v>
      </c>
      <c r="BR77" s="27">
        <f>Table1[[#This Row],[Suma cu TVA]]/1.2</f>
        <v>5285</v>
      </c>
      <c r="BS77" s="28">
        <f>ROUNDUP(Table1[[#This Row],[Valoarea fără TVA]],2)</f>
        <v>5285</v>
      </c>
    </row>
    <row r="78" spans="1:71" s="29" customFormat="1" ht="43.15" customHeight="1" x14ac:dyDescent="0.25">
      <c r="A78" s="19" t="s">
        <v>188</v>
      </c>
      <c r="B78" s="20">
        <v>24</v>
      </c>
      <c r="C78" s="9">
        <v>77</v>
      </c>
      <c r="D78" s="21" t="s">
        <v>225</v>
      </c>
      <c r="E78" s="30" t="s">
        <v>226</v>
      </c>
      <c r="F78" s="31" t="s">
        <v>73</v>
      </c>
      <c r="G78" s="24">
        <v>30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38"/>
      <c r="T78" s="19"/>
      <c r="U78" s="19"/>
      <c r="V78" s="19"/>
      <c r="W78" s="19">
        <v>100</v>
      </c>
      <c r="X78" s="19"/>
      <c r="Y78" s="19"/>
      <c r="Z78" s="19"/>
      <c r="AA78" s="19"/>
      <c r="AB78" s="39"/>
      <c r="AC78" s="19"/>
      <c r="AD78" s="19"/>
      <c r="AE78" s="34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3">
        <f t="shared" si="1"/>
        <v>100</v>
      </c>
      <c r="BQ78" s="27">
        <f>Table1[[#This Row],[Grand Total]]*Table1[[#This Row],[Preț estimat cu TVA]]</f>
        <v>3000</v>
      </c>
      <c r="BR78" s="27">
        <f>Table1[[#This Row],[Suma cu TVA]]/1.2</f>
        <v>2500</v>
      </c>
      <c r="BS78" s="28">
        <f>ROUNDUP(Table1[[#This Row],[Valoarea fără TVA]],2)</f>
        <v>2500</v>
      </c>
    </row>
    <row r="79" spans="1:71" s="29" customFormat="1" ht="43.15" customHeight="1" x14ac:dyDescent="0.25">
      <c r="A79" s="19" t="s">
        <v>188</v>
      </c>
      <c r="B79" s="20">
        <v>26</v>
      </c>
      <c r="C79" s="9">
        <v>78</v>
      </c>
      <c r="D79" s="21" t="s">
        <v>227</v>
      </c>
      <c r="E79" s="30" t="s">
        <v>228</v>
      </c>
      <c r="F79" s="35" t="s">
        <v>73</v>
      </c>
      <c r="G79" s="24">
        <v>103.5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32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34">
        <v>24</v>
      </c>
      <c r="AF79" s="32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3">
        <f t="shared" si="1"/>
        <v>24</v>
      </c>
      <c r="BQ79" s="27">
        <f>Table1[[#This Row],[Grand Total]]*Table1[[#This Row],[Preț estimat cu TVA]]</f>
        <v>2484</v>
      </c>
      <c r="BR79" s="27">
        <f>Table1[[#This Row],[Suma cu TVA]]/1.2</f>
        <v>2070</v>
      </c>
      <c r="BS79" s="28">
        <f>ROUNDUP(Table1[[#This Row],[Valoarea fără TVA]],2)</f>
        <v>2070</v>
      </c>
    </row>
    <row r="80" spans="1:71" s="29" customFormat="1" ht="43.15" customHeight="1" x14ac:dyDescent="0.25">
      <c r="A80" s="19" t="s">
        <v>188</v>
      </c>
      <c r="B80" s="20">
        <v>29</v>
      </c>
      <c r="C80" s="9">
        <v>79</v>
      </c>
      <c r="D80" s="21" t="s">
        <v>229</v>
      </c>
      <c r="E80" s="30" t="s">
        <v>230</v>
      </c>
      <c r="F80" s="31" t="s">
        <v>73</v>
      </c>
      <c r="G80" s="24">
        <v>100</v>
      </c>
      <c r="H80" s="19"/>
      <c r="I80" s="19"/>
      <c r="J80" s="19"/>
      <c r="K80" s="19"/>
      <c r="L80" s="19"/>
      <c r="M80" s="19"/>
      <c r="N80" s="19"/>
      <c r="O80" s="19"/>
      <c r="P80" s="32"/>
      <c r="Q80" s="19"/>
      <c r="R80" s="19"/>
      <c r="S80" s="33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34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>
        <v>12</v>
      </c>
      <c r="BL80" s="19"/>
      <c r="BM80" s="19"/>
      <c r="BN80" s="19"/>
      <c r="BO80" s="19"/>
      <c r="BP80" s="13">
        <f t="shared" si="1"/>
        <v>12</v>
      </c>
      <c r="BQ80" s="27">
        <f>Table1[[#This Row],[Grand Total]]*Table1[[#This Row],[Preț estimat cu TVA]]</f>
        <v>1200</v>
      </c>
      <c r="BR80" s="27">
        <f>Table1[[#This Row],[Suma cu TVA]]/1.2</f>
        <v>1000</v>
      </c>
      <c r="BS80" s="28">
        <f>ROUNDUP(Table1[[#This Row],[Valoarea fără TVA]],2)</f>
        <v>1000</v>
      </c>
    </row>
    <row r="81" spans="1:71" s="29" customFormat="1" ht="43.15" customHeight="1" x14ac:dyDescent="0.25">
      <c r="A81" s="19" t="s">
        <v>188</v>
      </c>
      <c r="B81" s="20">
        <v>30</v>
      </c>
      <c r="C81" s="9">
        <v>80</v>
      </c>
      <c r="D81" s="21" t="s">
        <v>231</v>
      </c>
      <c r="E81" s="30" t="s">
        <v>232</v>
      </c>
      <c r="F81" s="31" t="s">
        <v>73</v>
      </c>
      <c r="G81" s="24">
        <v>100</v>
      </c>
      <c r="H81" s="19"/>
      <c r="I81" s="19"/>
      <c r="J81" s="19"/>
      <c r="K81" s="19"/>
      <c r="L81" s="19"/>
      <c r="M81" s="19"/>
      <c r="N81" s="19"/>
      <c r="O81" s="19"/>
      <c r="P81" s="32"/>
      <c r="Q81" s="19"/>
      <c r="R81" s="19"/>
      <c r="S81" s="33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34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>
        <v>12</v>
      </c>
      <c r="BL81" s="19"/>
      <c r="BM81" s="19"/>
      <c r="BN81" s="19"/>
      <c r="BO81" s="19"/>
      <c r="BP81" s="13">
        <f t="shared" si="1"/>
        <v>12</v>
      </c>
      <c r="BQ81" s="27">
        <f>Table1[[#This Row],[Grand Total]]*Table1[[#This Row],[Preț estimat cu TVA]]</f>
        <v>1200</v>
      </c>
      <c r="BR81" s="27">
        <f>Table1[[#This Row],[Suma cu TVA]]/1.2</f>
        <v>1000</v>
      </c>
      <c r="BS81" s="28">
        <f>ROUNDUP(Table1[[#This Row],[Valoarea fără TVA]],2)</f>
        <v>1000</v>
      </c>
    </row>
    <row r="82" spans="1:71" s="29" customFormat="1" ht="43.15" customHeight="1" x14ac:dyDescent="0.25">
      <c r="A82" s="19" t="s">
        <v>188</v>
      </c>
      <c r="B82" s="20">
        <v>31</v>
      </c>
      <c r="C82" s="9">
        <v>81</v>
      </c>
      <c r="D82" s="21" t="s">
        <v>233</v>
      </c>
      <c r="E82" s="30" t="s">
        <v>234</v>
      </c>
      <c r="F82" s="31" t="s">
        <v>73</v>
      </c>
      <c r="G82" s="24">
        <v>100</v>
      </c>
      <c r="H82" s="19"/>
      <c r="I82" s="19"/>
      <c r="J82" s="19"/>
      <c r="K82" s="19"/>
      <c r="L82" s="19"/>
      <c r="M82" s="19"/>
      <c r="N82" s="19"/>
      <c r="O82" s="19"/>
      <c r="P82" s="32"/>
      <c r="Q82" s="19"/>
      <c r="R82" s="19"/>
      <c r="S82" s="33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34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>
        <v>24</v>
      </c>
      <c r="BL82" s="19"/>
      <c r="BM82" s="19"/>
      <c r="BN82" s="19"/>
      <c r="BO82" s="19"/>
      <c r="BP82" s="13">
        <f t="shared" si="1"/>
        <v>24</v>
      </c>
      <c r="BQ82" s="27">
        <f>Table1[[#This Row],[Grand Total]]*Table1[[#This Row],[Preț estimat cu TVA]]</f>
        <v>2400</v>
      </c>
      <c r="BR82" s="27">
        <f>Table1[[#This Row],[Suma cu TVA]]/1.2</f>
        <v>2000</v>
      </c>
      <c r="BS82" s="28">
        <f>ROUNDUP(Table1[[#This Row],[Valoarea fără TVA]],2)</f>
        <v>2000</v>
      </c>
    </row>
    <row r="83" spans="1:71" s="29" customFormat="1" ht="43.15" customHeight="1" x14ac:dyDescent="0.25">
      <c r="A83" s="19" t="s">
        <v>188</v>
      </c>
      <c r="B83" s="20">
        <v>32</v>
      </c>
      <c r="C83" s="9">
        <v>82</v>
      </c>
      <c r="D83" s="21" t="s">
        <v>235</v>
      </c>
      <c r="E83" s="30" t="s">
        <v>236</v>
      </c>
      <c r="F83" s="31" t="s">
        <v>73</v>
      </c>
      <c r="G83" s="24">
        <v>100</v>
      </c>
      <c r="H83" s="19"/>
      <c r="I83" s="19"/>
      <c r="J83" s="19"/>
      <c r="K83" s="19"/>
      <c r="L83" s="19"/>
      <c r="M83" s="19"/>
      <c r="N83" s="19"/>
      <c r="O83" s="19"/>
      <c r="P83" s="32"/>
      <c r="Q83" s="19"/>
      <c r="R83" s="19"/>
      <c r="S83" s="33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34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>
        <v>24</v>
      </c>
      <c r="BL83" s="19"/>
      <c r="BM83" s="19"/>
      <c r="BN83" s="19"/>
      <c r="BO83" s="19"/>
      <c r="BP83" s="13">
        <f t="shared" si="1"/>
        <v>24</v>
      </c>
      <c r="BQ83" s="27">
        <f>Table1[[#This Row],[Grand Total]]*Table1[[#This Row],[Preț estimat cu TVA]]</f>
        <v>2400</v>
      </c>
      <c r="BR83" s="27">
        <f>Table1[[#This Row],[Suma cu TVA]]/1.2</f>
        <v>2000</v>
      </c>
      <c r="BS83" s="28">
        <f>ROUNDUP(Table1[[#This Row],[Valoarea fără TVA]],2)</f>
        <v>2000</v>
      </c>
    </row>
    <row r="84" spans="1:71" s="29" customFormat="1" ht="43.15" customHeight="1" x14ac:dyDescent="0.25">
      <c r="A84" s="19" t="s">
        <v>188</v>
      </c>
      <c r="B84" s="20">
        <v>33</v>
      </c>
      <c r="C84" s="9">
        <v>83</v>
      </c>
      <c r="D84" s="21" t="s">
        <v>237</v>
      </c>
      <c r="E84" s="30" t="s">
        <v>238</v>
      </c>
      <c r="F84" s="31" t="s">
        <v>73</v>
      </c>
      <c r="G84" s="24">
        <v>100</v>
      </c>
      <c r="H84" s="19"/>
      <c r="I84" s="19"/>
      <c r="J84" s="19"/>
      <c r="K84" s="19"/>
      <c r="L84" s="19"/>
      <c r="M84" s="19"/>
      <c r="N84" s="19"/>
      <c r="O84" s="19"/>
      <c r="P84" s="32"/>
      <c r="Q84" s="19"/>
      <c r="R84" s="19"/>
      <c r="S84" s="33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34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>
        <v>12</v>
      </c>
      <c r="BL84" s="19"/>
      <c r="BM84" s="19"/>
      <c r="BN84" s="19"/>
      <c r="BO84" s="19"/>
      <c r="BP84" s="13">
        <f t="shared" si="1"/>
        <v>12</v>
      </c>
      <c r="BQ84" s="27">
        <f>Table1[[#This Row],[Grand Total]]*Table1[[#This Row],[Preț estimat cu TVA]]</f>
        <v>1200</v>
      </c>
      <c r="BR84" s="27">
        <f>Table1[[#This Row],[Suma cu TVA]]/1.2</f>
        <v>1000</v>
      </c>
      <c r="BS84" s="28">
        <f>ROUNDUP(Table1[[#This Row],[Valoarea fără TVA]],2)</f>
        <v>1000</v>
      </c>
    </row>
    <row r="85" spans="1:71" s="29" customFormat="1" ht="43.15" customHeight="1" x14ac:dyDescent="0.25">
      <c r="A85" s="19" t="s">
        <v>188</v>
      </c>
      <c r="B85" s="20">
        <v>34</v>
      </c>
      <c r="C85" s="9">
        <v>84</v>
      </c>
      <c r="D85" s="21" t="s">
        <v>237</v>
      </c>
      <c r="E85" s="30" t="s">
        <v>239</v>
      </c>
      <c r="F85" s="31" t="s">
        <v>73</v>
      </c>
      <c r="G85" s="24">
        <v>100</v>
      </c>
      <c r="H85" s="19"/>
      <c r="I85" s="19"/>
      <c r="J85" s="19"/>
      <c r="K85" s="19"/>
      <c r="L85" s="19"/>
      <c r="M85" s="19"/>
      <c r="N85" s="19"/>
      <c r="O85" s="19"/>
      <c r="P85" s="32"/>
      <c r="Q85" s="19"/>
      <c r="R85" s="19"/>
      <c r="S85" s="33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34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>
        <v>36</v>
      </c>
      <c r="BL85" s="19"/>
      <c r="BM85" s="19"/>
      <c r="BN85" s="19"/>
      <c r="BO85" s="19"/>
      <c r="BP85" s="13">
        <f t="shared" si="1"/>
        <v>36</v>
      </c>
      <c r="BQ85" s="27">
        <f>Table1[[#This Row],[Grand Total]]*Table1[[#This Row],[Preț estimat cu TVA]]</f>
        <v>3600</v>
      </c>
      <c r="BR85" s="27">
        <f>Table1[[#This Row],[Suma cu TVA]]/1.2</f>
        <v>3000</v>
      </c>
      <c r="BS85" s="28">
        <f>ROUNDUP(Table1[[#This Row],[Valoarea fără TVA]],2)</f>
        <v>3000</v>
      </c>
    </row>
    <row r="86" spans="1:71" s="29" customFormat="1" ht="43.15" customHeight="1" x14ac:dyDescent="0.25">
      <c r="A86" s="19" t="s">
        <v>188</v>
      </c>
      <c r="B86" s="20">
        <v>35</v>
      </c>
      <c r="C86" s="9">
        <v>85</v>
      </c>
      <c r="D86" s="21" t="s">
        <v>237</v>
      </c>
      <c r="E86" s="22" t="s">
        <v>240</v>
      </c>
      <c r="F86" s="23" t="s">
        <v>73</v>
      </c>
      <c r="G86" s="24">
        <v>145.33199999999999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5"/>
      <c r="T86" s="19"/>
      <c r="U86" s="19"/>
      <c r="V86" s="19"/>
      <c r="W86" s="19"/>
      <c r="X86" s="19"/>
      <c r="Y86" s="19"/>
      <c r="Z86" s="19"/>
      <c r="AA86" s="19"/>
      <c r="AB86" s="19"/>
      <c r="AC86" s="19">
        <v>200</v>
      </c>
      <c r="AD86" s="19"/>
      <c r="AE86" s="26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3">
        <f t="shared" si="1"/>
        <v>200</v>
      </c>
      <c r="BQ86" s="27">
        <f>Table1[[#This Row],[Grand Total]]*Table1[[#This Row],[Preț estimat cu TVA]]</f>
        <v>29066.399999999998</v>
      </c>
      <c r="BR86" s="27">
        <f>Table1[[#This Row],[Suma cu TVA]]/1.2</f>
        <v>24222</v>
      </c>
      <c r="BS86" s="28">
        <f>ROUNDUP(Table1[[#This Row],[Valoarea fără TVA]],2)</f>
        <v>24222</v>
      </c>
    </row>
    <row r="87" spans="1:71" s="29" customFormat="1" ht="43.15" customHeight="1" x14ac:dyDescent="0.25">
      <c r="A87" s="19" t="s">
        <v>188</v>
      </c>
      <c r="B87" s="20">
        <v>37</v>
      </c>
      <c r="C87" s="9">
        <v>86</v>
      </c>
      <c r="D87" s="21" t="s">
        <v>241</v>
      </c>
      <c r="E87" s="30" t="s">
        <v>242</v>
      </c>
      <c r="F87" s="35" t="s">
        <v>73</v>
      </c>
      <c r="G87" s="24">
        <v>97.2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32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34">
        <v>288</v>
      </c>
      <c r="AF87" s="32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3">
        <f t="shared" si="1"/>
        <v>288</v>
      </c>
      <c r="BQ87" s="27">
        <f>Table1[[#This Row],[Grand Total]]*Table1[[#This Row],[Preț estimat cu TVA]]</f>
        <v>27993.600000000002</v>
      </c>
      <c r="BR87" s="27">
        <f>Table1[[#This Row],[Suma cu TVA]]/1.2</f>
        <v>23328.000000000004</v>
      </c>
      <c r="BS87" s="28">
        <f>ROUNDUP(Table1[[#This Row],[Valoarea fără TVA]],2)</f>
        <v>23328</v>
      </c>
    </row>
    <row r="88" spans="1:71" s="29" customFormat="1" ht="43.15" customHeight="1" x14ac:dyDescent="0.25">
      <c r="A88" s="19" t="s">
        <v>188</v>
      </c>
      <c r="B88" s="20">
        <v>39</v>
      </c>
      <c r="C88" s="9">
        <v>87</v>
      </c>
      <c r="D88" s="21" t="s">
        <v>243</v>
      </c>
      <c r="E88" s="30" t="s">
        <v>244</v>
      </c>
      <c r="F88" s="31" t="s">
        <v>73</v>
      </c>
      <c r="G88" s="24">
        <v>1600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5"/>
      <c r="T88" s="19"/>
      <c r="U88" s="19"/>
      <c r="V88" s="19">
        <v>4</v>
      </c>
      <c r="W88" s="25"/>
      <c r="X88" s="19"/>
      <c r="Y88" s="19"/>
      <c r="Z88" s="19"/>
      <c r="AA88" s="19"/>
      <c r="AB88" s="19"/>
      <c r="AC88" s="19"/>
      <c r="AD88" s="19"/>
      <c r="AE88" s="34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3">
        <f t="shared" si="1"/>
        <v>4</v>
      </c>
      <c r="BQ88" s="27">
        <f>Table1[[#This Row],[Grand Total]]*Table1[[#This Row],[Preț estimat cu TVA]]</f>
        <v>6400</v>
      </c>
      <c r="BR88" s="27">
        <f>Table1[[#This Row],[Suma cu TVA]]/1.2</f>
        <v>5333.3333333333339</v>
      </c>
      <c r="BS88" s="28">
        <f>ROUNDUP(Table1[[#This Row],[Valoarea fără TVA]],2)</f>
        <v>5333.34</v>
      </c>
    </row>
    <row r="89" spans="1:71" s="29" customFormat="1" ht="43.15" customHeight="1" x14ac:dyDescent="0.25">
      <c r="A89" s="19" t="s">
        <v>188</v>
      </c>
      <c r="B89" s="20">
        <v>40</v>
      </c>
      <c r="C89" s="9">
        <v>88</v>
      </c>
      <c r="D89" s="21" t="s">
        <v>245</v>
      </c>
      <c r="E89" s="30" t="s">
        <v>246</v>
      </c>
      <c r="F89" s="31" t="s">
        <v>73</v>
      </c>
      <c r="G89" s="24">
        <v>1600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5"/>
      <c r="T89" s="19"/>
      <c r="U89" s="19"/>
      <c r="V89" s="19">
        <v>4</v>
      </c>
      <c r="W89" s="25"/>
      <c r="X89" s="19"/>
      <c r="Y89" s="19"/>
      <c r="Z89" s="19"/>
      <c r="AA89" s="19"/>
      <c r="AB89" s="19"/>
      <c r="AC89" s="19"/>
      <c r="AD89" s="19"/>
      <c r="AE89" s="34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3">
        <f t="shared" si="1"/>
        <v>4</v>
      </c>
      <c r="BQ89" s="27">
        <f>Table1[[#This Row],[Grand Total]]*Table1[[#This Row],[Preț estimat cu TVA]]</f>
        <v>6400</v>
      </c>
      <c r="BR89" s="27">
        <f>Table1[[#This Row],[Suma cu TVA]]/1.2</f>
        <v>5333.3333333333339</v>
      </c>
      <c r="BS89" s="28">
        <f>ROUNDUP(Table1[[#This Row],[Valoarea fără TVA]],2)</f>
        <v>5333.34</v>
      </c>
    </row>
    <row r="90" spans="1:71" s="29" customFormat="1" ht="43.15" customHeight="1" x14ac:dyDescent="0.25">
      <c r="A90" s="19" t="s">
        <v>188</v>
      </c>
      <c r="B90" s="20">
        <v>41</v>
      </c>
      <c r="C90" s="9">
        <v>89</v>
      </c>
      <c r="D90" s="21" t="s">
        <v>247</v>
      </c>
      <c r="E90" s="30" t="s">
        <v>248</v>
      </c>
      <c r="F90" s="35" t="s">
        <v>73</v>
      </c>
      <c r="G90" s="24">
        <v>141.66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40"/>
      <c r="T90" s="19"/>
      <c r="U90" s="19"/>
      <c r="V90" s="19"/>
      <c r="W90" s="19"/>
      <c r="X90" s="19"/>
      <c r="Y90" s="19"/>
      <c r="Z90" s="19"/>
      <c r="AA90" s="19"/>
      <c r="AB90" s="19">
        <v>36</v>
      </c>
      <c r="AC90" s="32"/>
      <c r="AD90" s="19"/>
      <c r="AE90" s="34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3">
        <f t="shared" si="1"/>
        <v>36</v>
      </c>
      <c r="BQ90" s="27">
        <f>Table1[[#This Row],[Grand Total]]*Table1[[#This Row],[Preț estimat cu TVA]]</f>
        <v>5099.76</v>
      </c>
      <c r="BR90" s="27">
        <f>Table1[[#This Row],[Suma cu TVA]]/1.2</f>
        <v>4249.8</v>
      </c>
      <c r="BS90" s="28">
        <f>ROUNDUP(Table1[[#This Row],[Valoarea fără TVA]],2)</f>
        <v>4249.8</v>
      </c>
    </row>
    <row r="91" spans="1:71" s="29" customFormat="1" ht="43.15" customHeight="1" x14ac:dyDescent="0.25">
      <c r="A91" s="19" t="s">
        <v>188</v>
      </c>
      <c r="B91" s="20">
        <v>43</v>
      </c>
      <c r="C91" s="9">
        <v>90</v>
      </c>
      <c r="D91" s="21" t="s">
        <v>249</v>
      </c>
      <c r="E91" s="30" t="s">
        <v>250</v>
      </c>
      <c r="F91" s="35" t="s">
        <v>73</v>
      </c>
      <c r="G91" s="24">
        <v>45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40"/>
      <c r="T91" s="19"/>
      <c r="U91" s="19"/>
      <c r="V91" s="19"/>
      <c r="W91" s="19"/>
      <c r="X91" s="19"/>
      <c r="Y91" s="19"/>
      <c r="Z91" s="19"/>
      <c r="AA91" s="19"/>
      <c r="AB91" s="19">
        <v>36</v>
      </c>
      <c r="AC91" s="32"/>
      <c r="AD91" s="19"/>
      <c r="AE91" s="34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3">
        <f t="shared" si="1"/>
        <v>36</v>
      </c>
      <c r="BQ91" s="27">
        <f>Table1[[#This Row],[Grand Total]]*Table1[[#This Row],[Preț estimat cu TVA]]</f>
        <v>1620</v>
      </c>
      <c r="BR91" s="27">
        <f>Table1[[#This Row],[Suma cu TVA]]/1.2</f>
        <v>1350</v>
      </c>
      <c r="BS91" s="28">
        <f>ROUNDUP(Table1[[#This Row],[Valoarea fără TVA]],2)</f>
        <v>1350</v>
      </c>
    </row>
    <row r="92" spans="1:71" s="29" customFormat="1" ht="43.15" customHeight="1" x14ac:dyDescent="0.25">
      <c r="A92" s="19" t="s">
        <v>188</v>
      </c>
      <c r="B92" s="20">
        <v>44</v>
      </c>
      <c r="C92" s="9">
        <v>91</v>
      </c>
      <c r="D92" s="21" t="s">
        <v>251</v>
      </c>
      <c r="E92" s="30" t="s">
        <v>252</v>
      </c>
      <c r="F92" s="35" t="s">
        <v>73</v>
      </c>
      <c r="G92" s="24">
        <v>45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40"/>
      <c r="T92" s="19"/>
      <c r="U92" s="19"/>
      <c r="V92" s="19"/>
      <c r="W92" s="19"/>
      <c r="X92" s="19"/>
      <c r="Y92" s="19"/>
      <c r="Z92" s="19"/>
      <c r="AA92" s="19"/>
      <c r="AB92" s="19">
        <v>36</v>
      </c>
      <c r="AC92" s="32"/>
      <c r="AD92" s="19"/>
      <c r="AE92" s="34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3">
        <f t="shared" si="1"/>
        <v>36</v>
      </c>
      <c r="BQ92" s="27">
        <f>Table1[[#This Row],[Grand Total]]*Table1[[#This Row],[Preț estimat cu TVA]]</f>
        <v>1620</v>
      </c>
      <c r="BR92" s="27">
        <f>Table1[[#This Row],[Suma cu TVA]]/1.2</f>
        <v>1350</v>
      </c>
      <c r="BS92" s="28">
        <f>ROUNDUP(Table1[[#This Row],[Valoarea fără TVA]],2)</f>
        <v>1350</v>
      </c>
    </row>
    <row r="93" spans="1:71" s="29" customFormat="1" ht="43.15" customHeight="1" x14ac:dyDescent="0.25">
      <c r="A93" s="19" t="s">
        <v>188</v>
      </c>
      <c r="B93" s="20">
        <v>45</v>
      </c>
      <c r="C93" s="9">
        <v>92</v>
      </c>
      <c r="D93" s="21" t="s">
        <v>253</v>
      </c>
      <c r="E93" s="30" t="s">
        <v>254</v>
      </c>
      <c r="F93" s="35" t="s">
        <v>73</v>
      </c>
      <c r="G93" s="24">
        <v>72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32"/>
      <c r="T93" s="19"/>
      <c r="U93" s="19"/>
      <c r="V93" s="19"/>
      <c r="W93" s="19"/>
      <c r="X93" s="19"/>
      <c r="Y93" s="19"/>
      <c r="Z93" s="19"/>
      <c r="AA93" s="19"/>
      <c r="AB93" s="19"/>
      <c r="AC93" s="19">
        <v>60</v>
      </c>
      <c r="AD93" s="19"/>
      <c r="AE93" s="26">
        <v>24</v>
      </c>
      <c r="AF93" s="32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3">
        <f t="shared" si="1"/>
        <v>84</v>
      </c>
      <c r="BQ93" s="27">
        <f>Table1[[#This Row],[Grand Total]]*Table1[[#This Row],[Preț estimat cu TVA]]</f>
        <v>6048</v>
      </c>
      <c r="BR93" s="27">
        <f>Table1[[#This Row],[Suma cu TVA]]/1.2</f>
        <v>5040</v>
      </c>
      <c r="BS93" s="28">
        <f>ROUNDUP(Table1[[#This Row],[Valoarea fără TVA]],2)</f>
        <v>5040</v>
      </c>
    </row>
    <row r="94" spans="1:71" s="29" customFormat="1" ht="43.15" customHeight="1" x14ac:dyDescent="0.25">
      <c r="A94" s="19" t="s">
        <v>188</v>
      </c>
      <c r="B94" s="20">
        <v>46</v>
      </c>
      <c r="C94" s="9">
        <v>93</v>
      </c>
      <c r="D94" s="21" t="s">
        <v>255</v>
      </c>
      <c r="E94" s="22" t="s">
        <v>256</v>
      </c>
      <c r="F94" s="23" t="s">
        <v>73</v>
      </c>
      <c r="G94" s="24">
        <v>104.64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5"/>
      <c r="T94" s="19"/>
      <c r="U94" s="19"/>
      <c r="V94" s="19"/>
      <c r="W94" s="19"/>
      <c r="X94" s="19"/>
      <c r="Y94" s="19"/>
      <c r="Z94" s="19"/>
      <c r="AA94" s="19"/>
      <c r="AB94" s="19"/>
      <c r="AC94" s="19">
        <v>60</v>
      </c>
      <c r="AD94" s="19"/>
      <c r="AE94" s="26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3">
        <f t="shared" si="1"/>
        <v>60</v>
      </c>
      <c r="BQ94" s="27">
        <f>Table1[[#This Row],[Grand Total]]*Table1[[#This Row],[Preț estimat cu TVA]]</f>
        <v>6278.4</v>
      </c>
      <c r="BR94" s="27">
        <f>Table1[[#This Row],[Suma cu TVA]]/1.2</f>
        <v>5232</v>
      </c>
      <c r="BS94" s="28">
        <f>ROUNDUP(Table1[[#This Row],[Valoarea fără TVA]],2)</f>
        <v>5232</v>
      </c>
    </row>
    <row r="95" spans="1:71" s="29" customFormat="1" ht="43.15" customHeight="1" x14ac:dyDescent="0.25">
      <c r="A95" s="19" t="s">
        <v>188</v>
      </c>
      <c r="B95" s="20">
        <v>47</v>
      </c>
      <c r="C95" s="9">
        <v>94</v>
      </c>
      <c r="D95" s="21" t="s">
        <v>257</v>
      </c>
      <c r="E95" s="30" t="s">
        <v>258</v>
      </c>
      <c r="F95" s="41" t="s">
        <v>73</v>
      </c>
      <c r="G95" s="24">
        <v>7.56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42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34"/>
      <c r="AF95" s="19">
        <v>60</v>
      </c>
      <c r="AG95" s="19"/>
      <c r="AH95" s="19"/>
      <c r="AI95" s="19"/>
      <c r="AJ95" s="19"/>
      <c r="AK95" s="19"/>
      <c r="AL95" s="19"/>
      <c r="AM95" s="19"/>
      <c r="AN95" s="19"/>
      <c r="AO95" s="32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3">
        <f t="shared" si="1"/>
        <v>60</v>
      </c>
      <c r="BQ95" s="27">
        <f>Table1[[#This Row],[Grand Total]]*Table1[[#This Row],[Preț estimat cu TVA]]</f>
        <v>453.59999999999997</v>
      </c>
      <c r="BR95" s="27">
        <f>Table1[[#This Row],[Suma cu TVA]]/1.2</f>
        <v>378</v>
      </c>
      <c r="BS95" s="28">
        <f>ROUNDUP(Table1[[#This Row],[Valoarea fără TVA]],2)</f>
        <v>378</v>
      </c>
    </row>
    <row r="96" spans="1:71" s="29" customFormat="1" ht="43.15" customHeight="1" x14ac:dyDescent="0.25">
      <c r="A96" s="19" t="s">
        <v>188</v>
      </c>
      <c r="B96" s="20">
        <v>48</v>
      </c>
      <c r="C96" s="9">
        <v>95</v>
      </c>
      <c r="D96" s="21" t="s">
        <v>259</v>
      </c>
      <c r="E96" s="30" t="s">
        <v>260</v>
      </c>
      <c r="F96" s="41" t="s">
        <v>73</v>
      </c>
      <c r="G96" s="24">
        <v>7.56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42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34"/>
      <c r="AF96" s="19">
        <v>60</v>
      </c>
      <c r="AG96" s="19"/>
      <c r="AH96" s="19"/>
      <c r="AI96" s="19"/>
      <c r="AJ96" s="19"/>
      <c r="AK96" s="19"/>
      <c r="AL96" s="19"/>
      <c r="AM96" s="19"/>
      <c r="AN96" s="19"/>
      <c r="AO96" s="32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3">
        <f t="shared" si="1"/>
        <v>60</v>
      </c>
      <c r="BQ96" s="27">
        <f>Table1[[#This Row],[Grand Total]]*Table1[[#This Row],[Preț estimat cu TVA]]</f>
        <v>453.59999999999997</v>
      </c>
      <c r="BR96" s="27">
        <f>Table1[[#This Row],[Suma cu TVA]]/1.2</f>
        <v>378</v>
      </c>
      <c r="BS96" s="28">
        <f>ROUNDUP(Table1[[#This Row],[Valoarea fără TVA]],2)</f>
        <v>378</v>
      </c>
    </row>
    <row r="97" spans="1:71" s="29" customFormat="1" ht="43.15" customHeight="1" x14ac:dyDescent="0.25">
      <c r="A97" s="19" t="s">
        <v>188</v>
      </c>
      <c r="B97" s="20">
        <v>50</v>
      </c>
      <c r="C97" s="9">
        <v>96</v>
      </c>
      <c r="D97" s="21" t="s">
        <v>261</v>
      </c>
      <c r="E97" s="22" t="s">
        <v>262</v>
      </c>
      <c r="F97" s="23" t="s">
        <v>73</v>
      </c>
      <c r="G97" s="24">
        <v>136.83599999999998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5"/>
      <c r="T97" s="19"/>
      <c r="U97" s="19"/>
      <c r="V97" s="19"/>
      <c r="W97" s="19"/>
      <c r="X97" s="19"/>
      <c r="Y97" s="19"/>
      <c r="Z97" s="19"/>
      <c r="AA97" s="19"/>
      <c r="AB97" s="19"/>
      <c r="AC97" s="19">
        <v>50</v>
      </c>
      <c r="AD97" s="19"/>
      <c r="AE97" s="26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3">
        <f t="shared" si="1"/>
        <v>50</v>
      </c>
      <c r="BQ97" s="27">
        <f>Table1[[#This Row],[Grand Total]]*Table1[[#This Row],[Preț estimat cu TVA]]</f>
        <v>6841.7999999999993</v>
      </c>
      <c r="BR97" s="27">
        <f>Table1[[#This Row],[Suma cu TVA]]/1.2</f>
        <v>5701.5</v>
      </c>
      <c r="BS97" s="28">
        <f>ROUNDUP(Table1[[#This Row],[Valoarea fără TVA]],2)</f>
        <v>5701.5</v>
      </c>
    </row>
    <row r="98" spans="1:71" s="29" customFormat="1" ht="43.15" customHeight="1" x14ac:dyDescent="0.25">
      <c r="A98" s="19" t="s">
        <v>188</v>
      </c>
      <c r="B98" s="20">
        <v>51</v>
      </c>
      <c r="C98" s="9">
        <v>97</v>
      </c>
      <c r="D98" s="21" t="s">
        <v>263</v>
      </c>
      <c r="E98" s="30" t="s">
        <v>264</v>
      </c>
      <c r="F98" s="41" t="s">
        <v>73</v>
      </c>
      <c r="G98" s="24">
        <v>7.56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42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34"/>
      <c r="AF98" s="19">
        <v>84</v>
      </c>
      <c r="AG98" s="19"/>
      <c r="AH98" s="19"/>
      <c r="AI98" s="19"/>
      <c r="AJ98" s="19"/>
      <c r="AK98" s="19"/>
      <c r="AL98" s="19"/>
      <c r="AM98" s="19"/>
      <c r="AN98" s="19"/>
      <c r="AO98" s="32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3">
        <f t="shared" si="1"/>
        <v>84</v>
      </c>
      <c r="BQ98" s="27">
        <f>Table1[[#This Row],[Grand Total]]*Table1[[#This Row],[Preț estimat cu TVA]]</f>
        <v>635.04</v>
      </c>
      <c r="BR98" s="27">
        <f>Table1[[#This Row],[Suma cu TVA]]/1.2</f>
        <v>529.20000000000005</v>
      </c>
      <c r="BS98" s="28">
        <f>ROUNDUP(Table1[[#This Row],[Valoarea fără TVA]],2)</f>
        <v>529.20000000000005</v>
      </c>
    </row>
    <row r="99" spans="1:71" s="29" customFormat="1" ht="43.15" customHeight="1" x14ac:dyDescent="0.25">
      <c r="A99" s="19" t="s">
        <v>188</v>
      </c>
      <c r="B99" s="20">
        <v>52</v>
      </c>
      <c r="C99" s="9">
        <v>98</v>
      </c>
      <c r="D99" s="21" t="s">
        <v>265</v>
      </c>
      <c r="E99" s="30" t="s">
        <v>266</v>
      </c>
      <c r="F99" s="41" t="s">
        <v>73</v>
      </c>
      <c r="G99" s="24">
        <v>7.56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42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34"/>
      <c r="AF99" s="19">
        <v>84</v>
      </c>
      <c r="AG99" s="19"/>
      <c r="AH99" s="19"/>
      <c r="AI99" s="19"/>
      <c r="AJ99" s="19"/>
      <c r="AK99" s="19"/>
      <c r="AL99" s="19"/>
      <c r="AM99" s="19"/>
      <c r="AN99" s="19"/>
      <c r="AO99" s="32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3">
        <f t="shared" si="1"/>
        <v>84</v>
      </c>
      <c r="BQ99" s="27">
        <f>Table1[[#This Row],[Grand Total]]*Table1[[#This Row],[Preț estimat cu TVA]]</f>
        <v>635.04</v>
      </c>
      <c r="BR99" s="27">
        <f>Table1[[#This Row],[Suma cu TVA]]/1.2</f>
        <v>529.20000000000005</v>
      </c>
      <c r="BS99" s="28">
        <f>ROUNDUP(Table1[[#This Row],[Valoarea fără TVA]],2)</f>
        <v>529.20000000000005</v>
      </c>
    </row>
    <row r="100" spans="1:71" s="29" customFormat="1" ht="43.15" customHeight="1" x14ac:dyDescent="0.25">
      <c r="A100" s="19" t="s">
        <v>188</v>
      </c>
      <c r="B100" s="20">
        <v>53</v>
      </c>
      <c r="C100" s="9">
        <v>99</v>
      </c>
      <c r="D100" s="21" t="s">
        <v>267</v>
      </c>
      <c r="E100" s="30" t="s">
        <v>268</v>
      </c>
      <c r="F100" s="41" t="s">
        <v>73</v>
      </c>
      <c r="G100" s="24">
        <v>7.56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42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34"/>
      <c r="AF100" s="19">
        <v>296</v>
      </c>
      <c r="AG100" s="19"/>
      <c r="AH100" s="19"/>
      <c r="AI100" s="19"/>
      <c r="AJ100" s="19"/>
      <c r="AK100" s="19"/>
      <c r="AL100" s="19"/>
      <c r="AM100" s="19"/>
      <c r="AN100" s="19"/>
      <c r="AO100" s="32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3">
        <f t="shared" si="1"/>
        <v>296</v>
      </c>
      <c r="BQ100" s="27">
        <f>Table1[[#This Row],[Grand Total]]*Table1[[#This Row],[Preț estimat cu TVA]]</f>
        <v>2237.7599999999998</v>
      </c>
      <c r="BR100" s="27">
        <f>Table1[[#This Row],[Suma cu TVA]]/1.2</f>
        <v>1864.8</v>
      </c>
      <c r="BS100" s="28">
        <f>ROUNDUP(Table1[[#This Row],[Valoarea fără TVA]],2)</f>
        <v>1864.8</v>
      </c>
    </row>
    <row r="101" spans="1:71" s="29" customFormat="1" ht="43.15" customHeight="1" x14ac:dyDescent="0.25">
      <c r="A101" s="19" t="s">
        <v>188</v>
      </c>
      <c r="B101" s="20">
        <v>54</v>
      </c>
      <c r="C101" s="9">
        <v>100</v>
      </c>
      <c r="D101" s="21" t="s">
        <v>269</v>
      </c>
      <c r="E101" s="30" t="s">
        <v>270</v>
      </c>
      <c r="F101" s="41" t="s">
        <v>73</v>
      </c>
      <c r="G101" s="24">
        <v>7.56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42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34"/>
      <c r="AF101" s="19">
        <v>148</v>
      </c>
      <c r="AG101" s="19"/>
      <c r="AH101" s="19"/>
      <c r="AI101" s="19"/>
      <c r="AJ101" s="19"/>
      <c r="AK101" s="19"/>
      <c r="AL101" s="19"/>
      <c r="AM101" s="19"/>
      <c r="AN101" s="19"/>
      <c r="AO101" s="32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3">
        <f t="shared" si="1"/>
        <v>148</v>
      </c>
      <c r="BQ101" s="27">
        <f>Table1[[#This Row],[Grand Total]]*Table1[[#This Row],[Preț estimat cu TVA]]</f>
        <v>1118.8799999999999</v>
      </c>
      <c r="BR101" s="27">
        <f>Table1[[#This Row],[Suma cu TVA]]/1.2</f>
        <v>932.4</v>
      </c>
      <c r="BS101" s="28">
        <f>ROUNDUP(Table1[[#This Row],[Valoarea fără TVA]],2)</f>
        <v>932.4</v>
      </c>
    </row>
    <row r="102" spans="1:71" s="29" customFormat="1" ht="43.15" customHeight="1" x14ac:dyDescent="0.25">
      <c r="A102" s="19" t="s">
        <v>188</v>
      </c>
      <c r="B102" s="20">
        <v>55</v>
      </c>
      <c r="C102" s="9">
        <v>101</v>
      </c>
      <c r="D102" s="21" t="s">
        <v>271</v>
      </c>
      <c r="E102" s="30" t="s">
        <v>272</v>
      </c>
      <c r="F102" s="41" t="s">
        <v>73</v>
      </c>
      <c r="G102" s="24">
        <v>7.56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42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34"/>
      <c r="AF102" s="19">
        <v>84</v>
      </c>
      <c r="AG102" s="19"/>
      <c r="AH102" s="19"/>
      <c r="AI102" s="19"/>
      <c r="AJ102" s="19"/>
      <c r="AK102" s="19"/>
      <c r="AL102" s="19"/>
      <c r="AM102" s="19"/>
      <c r="AN102" s="19"/>
      <c r="AO102" s="32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3">
        <f t="shared" si="1"/>
        <v>84</v>
      </c>
      <c r="BQ102" s="27">
        <f>Table1[[#This Row],[Grand Total]]*Table1[[#This Row],[Preț estimat cu TVA]]</f>
        <v>635.04</v>
      </c>
      <c r="BR102" s="27">
        <f>Table1[[#This Row],[Suma cu TVA]]/1.2</f>
        <v>529.20000000000005</v>
      </c>
      <c r="BS102" s="28">
        <f>ROUNDUP(Table1[[#This Row],[Valoarea fără TVA]],2)</f>
        <v>529.20000000000005</v>
      </c>
    </row>
    <row r="103" spans="1:71" s="29" customFormat="1" ht="43.15" customHeight="1" x14ac:dyDescent="0.25">
      <c r="A103" s="19" t="s">
        <v>188</v>
      </c>
      <c r="B103" s="20">
        <v>56</v>
      </c>
      <c r="C103" s="9">
        <v>102</v>
      </c>
      <c r="D103" s="21" t="s">
        <v>273</v>
      </c>
      <c r="E103" s="30" t="s">
        <v>274</v>
      </c>
      <c r="F103" s="41" t="s">
        <v>73</v>
      </c>
      <c r="G103" s="24">
        <v>7.56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42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34"/>
      <c r="AF103" s="19">
        <v>96</v>
      </c>
      <c r="AG103" s="19"/>
      <c r="AH103" s="19"/>
      <c r="AI103" s="19"/>
      <c r="AJ103" s="19"/>
      <c r="AK103" s="19"/>
      <c r="AL103" s="19"/>
      <c r="AM103" s="19"/>
      <c r="AN103" s="19"/>
      <c r="AO103" s="32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3">
        <f t="shared" si="1"/>
        <v>96</v>
      </c>
      <c r="BQ103" s="27">
        <f>Table1[[#This Row],[Grand Total]]*Table1[[#This Row],[Preț estimat cu TVA]]</f>
        <v>725.76</v>
      </c>
      <c r="BR103" s="27">
        <f>Table1[[#This Row],[Suma cu TVA]]/1.2</f>
        <v>604.80000000000007</v>
      </c>
      <c r="BS103" s="28">
        <f>ROUNDUP(Table1[[#This Row],[Valoarea fără TVA]],2)</f>
        <v>604.79999999999995</v>
      </c>
    </row>
    <row r="104" spans="1:71" s="29" customFormat="1" ht="43.15" customHeight="1" x14ac:dyDescent="0.25">
      <c r="A104" s="19" t="s">
        <v>188</v>
      </c>
      <c r="B104" s="20">
        <v>57</v>
      </c>
      <c r="C104" s="9">
        <v>103</v>
      </c>
      <c r="D104" s="21" t="s">
        <v>273</v>
      </c>
      <c r="E104" s="30" t="s">
        <v>274</v>
      </c>
      <c r="F104" s="41" t="s">
        <v>73</v>
      </c>
      <c r="G104" s="24">
        <v>7.56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42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34"/>
      <c r="AF104" s="19">
        <v>96</v>
      </c>
      <c r="AG104" s="19"/>
      <c r="AH104" s="19"/>
      <c r="AI104" s="19"/>
      <c r="AJ104" s="19"/>
      <c r="AK104" s="19"/>
      <c r="AL104" s="19"/>
      <c r="AM104" s="19"/>
      <c r="AN104" s="19"/>
      <c r="AO104" s="32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3">
        <f t="shared" si="1"/>
        <v>96</v>
      </c>
      <c r="BQ104" s="27">
        <f>Table1[[#This Row],[Grand Total]]*Table1[[#This Row],[Preț estimat cu TVA]]</f>
        <v>725.76</v>
      </c>
      <c r="BR104" s="27">
        <f>Table1[[#This Row],[Suma cu TVA]]/1.2</f>
        <v>604.80000000000007</v>
      </c>
      <c r="BS104" s="28">
        <f>ROUNDUP(Table1[[#This Row],[Valoarea fără TVA]],2)</f>
        <v>604.79999999999995</v>
      </c>
    </row>
    <row r="105" spans="1:71" s="29" customFormat="1" ht="43.15" customHeight="1" x14ac:dyDescent="0.25">
      <c r="A105" s="19" t="s">
        <v>188</v>
      </c>
      <c r="B105" s="20">
        <v>58</v>
      </c>
      <c r="C105" s="9">
        <v>104</v>
      </c>
      <c r="D105" s="21" t="s">
        <v>275</v>
      </c>
      <c r="E105" s="43" t="s">
        <v>276</v>
      </c>
      <c r="F105" s="44" t="s">
        <v>73</v>
      </c>
      <c r="G105" s="24">
        <v>150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38"/>
      <c r="T105" s="19"/>
      <c r="U105" s="19"/>
      <c r="V105" s="19"/>
      <c r="W105" s="19">
        <v>200</v>
      </c>
      <c r="X105" s="19"/>
      <c r="Y105" s="19"/>
      <c r="Z105" s="19"/>
      <c r="AA105" s="19"/>
      <c r="AB105" s="32"/>
      <c r="AC105" s="19"/>
      <c r="AD105" s="19"/>
      <c r="AE105" s="34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3">
        <f t="shared" si="1"/>
        <v>200</v>
      </c>
      <c r="BQ105" s="27">
        <f>Table1[[#This Row],[Grand Total]]*Table1[[#This Row],[Preț estimat cu TVA]]</f>
        <v>30000</v>
      </c>
      <c r="BR105" s="27">
        <f>Table1[[#This Row],[Suma cu TVA]]/1.2</f>
        <v>25000</v>
      </c>
      <c r="BS105" s="28">
        <f>ROUNDUP(Table1[[#This Row],[Valoarea fără TVA]],2)</f>
        <v>25000</v>
      </c>
    </row>
    <row r="106" spans="1:71" s="29" customFormat="1" ht="43.15" customHeight="1" x14ac:dyDescent="0.25">
      <c r="A106" s="19" t="s">
        <v>188</v>
      </c>
      <c r="B106" s="20">
        <v>60</v>
      </c>
      <c r="C106" s="9">
        <v>105</v>
      </c>
      <c r="D106" s="21" t="s">
        <v>277</v>
      </c>
      <c r="E106" s="45" t="s">
        <v>278</v>
      </c>
      <c r="F106" s="46" t="s">
        <v>73</v>
      </c>
      <c r="G106" s="24">
        <v>40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37"/>
      <c r="T106" s="19"/>
      <c r="U106" s="19"/>
      <c r="V106" s="19"/>
      <c r="W106" s="19">
        <v>400</v>
      </c>
      <c r="X106" s="19"/>
      <c r="Y106" s="19"/>
      <c r="Z106" s="19"/>
      <c r="AA106" s="19"/>
      <c r="AB106" s="32"/>
      <c r="AC106" s="19"/>
      <c r="AD106" s="19"/>
      <c r="AE106" s="34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3">
        <f t="shared" si="1"/>
        <v>400</v>
      </c>
      <c r="BQ106" s="27">
        <f>Table1[[#This Row],[Grand Total]]*Table1[[#This Row],[Preț estimat cu TVA]]</f>
        <v>16000</v>
      </c>
      <c r="BR106" s="27">
        <f>Table1[[#This Row],[Suma cu TVA]]/1.2</f>
        <v>13333.333333333334</v>
      </c>
      <c r="BS106" s="28">
        <f>ROUNDUP(Table1[[#This Row],[Valoarea fără TVA]],2)</f>
        <v>13333.34</v>
      </c>
    </row>
    <row r="107" spans="1:71" s="29" customFormat="1" ht="43.15" customHeight="1" x14ac:dyDescent="0.25">
      <c r="A107" s="19" t="s">
        <v>188</v>
      </c>
      <c r="B107" s="20">
        <v>61</v>
      </c>
      <c r="C107" s="9">
        <v>106</v>
      </c>
      <c r="D107" s="21" t="s">
        <v>279</v>
      </c>
      <c r="E107" s="45" t="s">
        <v>280</v>
      </c>
      <c r="F107" s="46" t="s">
        <v>73</v>
      </c>
      <c r="G107" s="24">
        <v>50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37"/>
      <c r="T107" s="19"/>
      <c r="U107" s="19"/>
      <c r="V107" s="19"/>
      <c r="W107" s="19">
        <v>400</v>
      </c>
      <c r="X107" s="19"/>
      <c r="Y107" s="19"/>
      <c r="Z107" s="19"/>
      <c r="AA107" s="19"/>
      <c r="AB107" s="32"/>
      <c r="AC107" s="19"/>
      <c r="AD107" s="19"/>
      <c r="AE107" s="34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3">
        <f t="shared" si="1"/>
        <v>400</v>
      </c>
      <c r="BQ107" s="27">
        <f>Table1[[#This Row],[Grand Total]]*Table1[[#This Row],[Preț estimat cu TVA]]</f>
        <v>20000</v>
      </c>
      <c r="BR107" s="27">
        <f>Table1[[#This Row],[Suma cu TVA]]/1.2</f>
        <v>16666.666666666668</v>
      </c>
      <c r="BS107" s="28">
        <f>ROUNDUP(Table1[[#This Row],[Valoarea fără TVA]],2)</f>
        <v>16666.669999999998</v>
      </c>
    </row>
    <row r="108" spans="1:71" s="29" customFormat="1" ht="43.15" customHeight="1" x14ac:dyDescent="0.25">
      <c r="A108" s="19" t="s">
        <v>188</v>
      </c>
      <c r="B108" s="20">
        <v>62</v>
      </c>
      <c r="C108" s="9">
        <v>107</v>
      </c>
      <c r="D108" s="21" t="s">
        <v>281</v>
      </c>
      <c r="E108" s="30" t="s">
        <v>282</v>
      </c>
      <c r="F108" s="35" t="s">
        <v>73</v>
      </c>
      <c r="G108" s="24">
        <v>250.99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32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34">
        <v>36</v>
      </c>
      <c r="AF108" s="32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3">
        <f t="shared" si="1"/>
        <v>36</v>
      </c>
      <c r="BQ108" s="27">
        <f>Table1[[#This Row],[Grand Total]]*Table1[[#This Row],[Preț estimat cu TVA]]</f>
        <v>9035.64</v>
      </c>
      <c r="BR108" s="27">
        <f>Table1[[#This Row],[Suma cu TVA]]/1.2</f>
        <v>7529.7</v>
      </c>
      <c r="BS108" s="28">
        <f>ROUNDUP(Table1[[#This Row],[Valoarea fără TVA]],2)</f>
        <v>7529.7</v>
      </c>
    </row>
    <row r="109" spans="1:71" s="29" customFormat="1" ht="43.15" customHeight="1" x14ac:dyDescent="0.25">
      <c r="A109" s="19" t="s">
        <v>188</v>
      </c>
      <c r="B109" s="47">
        <v>63</v>
      </c>
      <c r="C109" s="9">
        <v>108</v>
      </c>
      <c r="D109" s="48" t="s">
        <v>283</v>
      </c>
      <c r="E109" s="49" t="s">
        <v>284</v>
      </c>
      <c r="F109" s="50" t="s">
        <v>73</v>
      </c>
      <c r="G109" s="51">
        <v>57</v>
      </c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3"/>
      <c r="T109" s="52"/>
      <c r="U109" s="52"/>
      <c r="V109" s="52">
        <v>30</v>
      </c>
      <c r="W109" s="54"/>
      <c r="X109" s="52"/>
      <c r="Y109" s="52"/>
      <c r="Z109" s="52"/>
      <c r="AA109" s="52"/>
      <c r="AB109" s="52"/>
      <c r="AC109" s="52"/>
      <c r="AD109" s="52"/>
      <c r="AE109" s="55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13">
        <f t="shared" si="1"/>
        <v>30</v>
      </c>
      <c r="BQ109" s="56">
        <f>Table1[[#This Row],[Grand Total]]*Table1[[#This Row],[Preț estimat cu TVA]]</f>
        <v>1710</v>
      </c>
      <c r="BR109" s="56">
        <f>Table1[[#This Row],[Suma cu TVA]]/1.2</f>
        <v>1425</v>
      </c>
      <c r="BS109" s="57">
        <f>ROUNDUP(Table1[[#This Row],[Valoarea fără TVA]],2)</f>
        <v>1425</v>
      </c>
    </row>
    <row r="110" spans="1:71" ht="27" customHeight="1" x14ac:dyDescent="0.25">
      <c r="B110" s="58"/>
      <c r="C110" s="58"/>
      <c r="D110" s="59"/>
      <c r="E110" s="60"/>
      <c r="F110" s="61"/>
      <c r="G110" s="61"/>
      <c r="H110" s="61">
        <f>SUBTOTAL(109,Table1[ADMINISTRATIA NATIONALA A PENITENCIARELOR])</f>
        <v>214</v>
      </c>
      <c r="I110" s="61">
        <f>SUBTOTAL(109,Table1[CABINETUL INDIVIDUAL AL MEDICULUI DE FAMILIE CORCODEL GEORGETA])</f>
        <v>24</v>
      </c>
      <c r="J110" s="61">
        <f>SUBTOTAL(109,Table1[CABINETUL INDIVIDUAL AL MEDICULUI DE FAMILIE PLESCA ELENA])</f>
        <v>24</v>
      </c>
      <c r="K110" s="61">
        <f>SUBTOTAL(109,Table1[CENTRUL DE PLASAMENT TEMPORAR PENTRU PERSOANE CU DIZABILITATI MUN ORHEI])</f>
        <v>1</v>
      </c>
      <c r="L110" s="61">
        <f>SUBTOTAL(109,Table1[IM CENTRUL STOMATOLOGIC RAIONAL CIMISLIA])</f>
        <v>36</v>
      </c>
      <c r="M110" s="61">
        <f>SUBTOTAL(109,Table1[IMSP ASOCIATIA MEDICALA TERITORIALA BUIUCANI])</f>
        <v>96</v>
      </c>
      <c r="N110" s="61">
        <f>SUBTOTAL(109,Table1[IMSP ASOCIATIA MEDICALA TERITORIALA CENTRU])</f>
        <v>900</v>
      </c>
      <c r="O110" s="61">
        <f>SUBTOTAL(109,Table1[IMSP ASOCIATIA MEDICALA TERITORIALA CIOCANA])</f>
        <v>48</v>
      </c>
      <c r="P110" s="61">
        <f>SUBTOTAL(109,Table1[IMSP ASOCIATIA MEDICALA TERITORIALA RASCANI])</f>
        <v>48</v>
      </c>
      <c r="Q110" s="61">
        <f>SUBTOTAL(109,Table1[IMSP CENTRUL DE SANATATE CAZANESTI])</f>
        <v>24</v>
      </c>
      <c r="R110" s="61">
        <f>SUBTOTAL(109,Table1[IMSP CENTRUL DE SANATATE PEPENI])</f>
        <v>48</v>
      </c>
      <c r="S110" s="61">
        <f>SUBTOTAL(109,Table1[IMSP INSTITUTUL DE CARDIOLOGIE])</f>
        <v>3052</v>
      </c>
      <c r="T110" s="61">
        <f>SUBTOTAL(109,Table1[IMSP INSTITUTUL DE MEDICINA URGENTA])</f>
        <v>4792</v>
      </c>
      <c r="U110" s="61">
        <f>SUBTOTAL(109,Table1[IMSP INSTITUTUL DE NEUROLOGIE SI NEUROCHIRURGIE DIOMID GHERMAN])</f>
        <v>356</v>
      </c>
      <c r="V110" s="61">
        <f>SUBTOTAL(109,Table1[IMSP INSTITUTUL MAMEI SI COPILULUI])</f>
        <v>9982</v>
      </c>
      <c r="W110" s="61">
        <f>SUBTOTAL(109,Table1[IMSP INSTITUTUL ONCOLOGIC])</f>
        <v>1422</v>
      </c>
      <c r="X110" s="61">
        <f>SUBTOTAL(109,Table1[IMSP POLICLINICA STOMATOLOGICA REPUBLICANA])</f>
        <v>84</v>
      </c>
      <c r="Y110" s="61">
        <f>SUBTOTAL(109,Table1[IMSP SPITALUL CLINIC AL MINISTERULUI SANATATII])</f>
        <v>72</v>
      </c>
      <c r="Z110" s="61">
        <f>SUBTOTAL(109,Table1[IMSP SPITALUL CLINIC BALTI])</f>
        <v>6210</v>
      </c>
      <c r="AA110" s="61">
        <f>SUBTOTAL(109,Table1[IMSP SPITALUL CLINIC MUNICIPAL DE COPII V IGNATENCO])</f>
        <v>1560</v>
      </c>
      <c r="AB110" s="61">
        <f>SUBTOTAL(109,Table1[IMSP SPITALUL CLINIC MUNICIPAL GHEORGHE PALADI])</f>
        <v>7440</v>
      </c>
      <c r="AC110" s="61">
        <f>SUBTOTAL(109,Table1[IMSP SPITALUL CLINIC MUNICIPAL SFANTA TREIME])</f>
        <v>3926</v>
      </c>
      <c r="AD110" s="61">
        <f>SUBTOTAL(109,Table1[IMSP SPITALUL CLINIC MUNICIPAL SFANTUL ARHANGHEL MIHAIL])</f>
        <v>3200</v>
      </c>
      <c r="AE110" s="61">
        <f>SUBTOTAL(109,Table1[IMSP SPITALUL CLINIC REPUBLICAN TIMOFEI MOSNEAGA])</f>
        <v>14604</v>
      </c>
      <c r="AF110" s="61">
        <f>SUBTOTAL(109,Table1[IMSP SPITALUL DE STAT])</f>
        <v>1416</v>
      </c>
      <c r="AG110" s="61">
        <f>SUBTOTAL(109,Table1[IMSP SPITALUL RAIONAL ANENII NOI])</f>
        <v>12</v>
      </c>
      <c r="AH110" s="61">
        <f>SUBTOTAL(109,Table1[IMSP SPITALUL RAIONAL BASARABEASCA])</f>
        <v>0</v>
      </c>
      <c r="AI110" s="61">
        <f>SUBTOTAL(109,Table1[IMSP SPITALUL RAIONAL BRICENI])</f>
        <v>168</v>
      </c>
      <c r="AJ110" s="61">
        <f>SUBTOTAL(109,Table1[IMSP SPITALUL RAIONAL CAHUL])</f>
        <v>388</v>
      </c>
      <c r="AK110" s="61">
        <f>SUBTOTAL(109,Table1[IMSP SPITALUL RAIONAL CALARASI])</f>
        <v>360</v>
      </c>
      <c r="AL110" s="61">
        <f>SUBTOTAL(109,Table1[IMSP SPITALUL RAIONAL CANTEMIR])</f>
        <v>704</v>
      </c>
      <c r="AM110" s="61">
        <f>SUBTOTAL(109,Table1[IMSP SPITALUL RAIONAL CAUSENI ANA SI ALEXANDRU])</f>
        <v>846</v>
      </c>
      <c r="AN110" s="61">
        <f>SUBTOTAL(109,Table1[IMSP SPITALUL RAIONAL CEADIR-LUNGA])</f>
        <v>540</v>
      </c>
      <c r="AO110" s="61">
        <f>SUBTOTAL(109,Table1[IMSP SPITALUL RAIONAL CIMISLIA])</f>
        <v>660</v>
      </c>
      <c r="AP110" s="61">
        <f>SUBTOTAL(109,Table1[IMSP SPITALUL RAIONAL COMRAT ISAAC GURFINCHEL])</f>
        <v>444</v>
      </c>
      <c r="AQ110" s="61">
        <f>SUBTOTAL(109,Table1[IMSP SPITALUL RAIONAL CRIULENI])</f>
        <v>192</v>
      </c>
      <c r="AR110" s="61">
        <f>SUBTOTAL(109,Table1[IMSP SPITALUL RAIONAL DONDUSENI])</f>
        <v>12</v>
      </c>
      <c r="AS110" s="61">
        <f>SUBTOTAL(109,Table1[IMSP SPITALUL RAIONAL DROCHIA NICOLAE TESTEMITANU])</f>
        <v>132</v>
      </c>
      <c r="AT110" s="61">
        <f>SUBTOTAL(109,Table1[IMSP SPITALUL RAIONAL EDINET])</f>
        <v>1176</v>
      </c>
      <c r="AU110" s="61">
        <f>SUBTOTAL(109,Table1[IMSP SPITALUL RAIONAL FALESTI])</f>
        <v>692</v>
      </c>
      <c r="AV110" s="61">
        <f>SUBTOTAL(109,Table1[IMSP SPITALUL RAIONAL FLORESTI])</f>
        <v>288</v>
      </c>
      <c r="AW110" s="61">
        <f>SUBTOTAL(109,Table1[IMSP SPITALUL RAIONAL GLODENI])</f>
        <v>156</v>
      </c>
      <c r="AX110" s="61">
        <f>SUBTOTAL(109,Table1[IMSP SPITALUL RAIONAL HANCESTI])</f>
        <v>78</v>
      </c>
      <c r="AY110" s="61">
        <f>SUBTOTAL(109,Table1[IMSP SPITALUL RAIONAL IALOVENI])</f>
        <v>288</v>
      </c>
      <c r="AZ110" s="61">
        <f>SUBTOTAL(109,Table1[IMSP SPITALUL RAIONAL LEOVA])</f>
        <v>180</v>
      </c>
      <c r="BA110" s="61">
        <f>SUBTOTAL(109,Table1[IMSP SPITALUL RAIONAL NISPORENI])</f>
        <v>276</v>
      </c>
      <c r="BB110" s="61">
        <f>SUBTOTAL(109,Table1[IMSP SPITALUL RAIONAL ORHEI])</f>
        <v>200</v>
      </c>
      <c r="BC110" s="61">
        <f>SUBTOTAL(109,Table1[IMSP SPITALUL RAIONAL RASCANI])</f>
        <v>864</v>
      </c>
      <c r="BD110" s="61">
        <f>SUBTOTAL(109,Table1[IMSP SPITALUL RAIONAL REZINA])</f>
        <v>978</v>
      </c>
      <c r="BE110" s="61">
        <f>SUBTOTAL(109,Table1[IMSP SPITALUL RAIONAL SANGEREI])</f>
        <v>384</v>
      </c>
      <c r="BF110" s="61">
        <f>SUBTOTAL(109,Table1[IMSP SPITALUL RAIONAL SOLDANESTI])</f>
        <v>180</v>
      </c>
      <c r="BG110" s="61">
        <f>SUBTOTAL(109,Table1[IMSP SPITALUL RAIONAL SOROCA A PRISACARI])</f>
        <v>972</v>
      </c>
      <c r="BH110" s="61">
        <f>SUBTOTAL(109,Table1[IMSP SPITALUL RAIONAL STEFAN VODA])</f>
        <v>420</v>
      </c>
      <c r="BI110" s="61">
        <f>SUBTOTAL(109,Table1[IMSP SPITALUL RAIONAL STRASENI])</f>
        <v>100</v>
      </c>
      <c r="BJ110" s="61">
        <f>SUBTOTAL(109,Table1[IMSP SPITALUL RAIONAL TARACLIA])</f>
        <v>29</v>
      </c>
      <c r="BK110" s="61">
        <f>SUBTOTAL(109,Table1[IMSP SPITALUL RAIONAL UNGHENI])</f>
        <v>732</v>
      </c>
      <c r="BL110" s="61">
        <f>SUBTOTAL(109,Table1[IMSP SPITALUL RAIONAL VULCANESTI])</f>
        <v>12</v>
      </c>
      <c r="BM110" s="61">
        <f>SUBTOTAL(109,Table1[IP STOMATOLOGIE COMRAT])</f>
        <v>12</v>
      </c>
      <c r="BN110" s="61">
        <f>SUBTOTAL(109,Table1[SERVICIUL MEDICAL AL MINISTERULUI AFACERILOR INTERNE])</f>
        <v>1212</v>
      </c>
      <c r="BO110" s="61">
        <f>SUBTOTAL(109,Table1[SPITALUL CLINIC MILITAR CENTRAL])</f>
        <v>72</v>
      </c>
      <c r="BP110" s="62"/>
      <c r="BQ110" s="62"/>
      <c r="BR110" s="62"/>
      <c r="BS110" s="63">
        <f>SUBTOTAL(109,Table1[Valoarea Estimată])</f>
        <v>2253365.8199999998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2024-12-18T11:33:29Z</dcterms:created>
  <dcterms:modified xsi:type="dcterms:W3CDTF">2024-12-18T11:34:10Z</dcterms:modified>
</cp:coreProperties>
</file>