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/>
  <mc:AlternateContent xmlns:mc="http://schemas.openxmlformats.org/markup-compatibility/2006">
    <mc:Choice Requires="x15">
      <x15ac:absPath xmlns:x15ac="http://schemas.microsoft.com/office/spreadsheetml/2010/11/ac" url="/Users/nataliiakonoplia/Downloads/Varnix_SIMSM_Tender_Submission_Package_EN/"/>
    </mc:Choice>
  </mc:AlternateContent>
  <xr:revisionPtr revIDLastSave="0" documentId="13_ncr:1_{E04D0704-3E03-B448-A1EB-B19C97A83CD7}" xr6:coauthVersionLast="47" xr6:coauthVersionMax="47" xr10:uidLastSave="{00000000-0000-0000-0000-000000000000}"/>
  <bookViews>
    <workbookView xWindow="0" yWindow="600" windowWidth="38400" windowHeight="19480" xr2:uid="{00000000-000D-0000-FFFF-FFFF00000000}"/>
  </bookViews>
  <sheets>
    <sheet name="Summary" sheetId="1" r:id="rId1"/>
    <sheet name="Cost by Role" sheetId="2" r:id="rId2"/>
    <sheet name="Phase Plan" sheetId="3" r:id="rId3"/>
    <sheet name="Payment Milestones" sheetId="4" r:id="rId4"/>
    <sheet name="Assumption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4" l="1"/>
  <c r="E6" i="4"/>
  <c r="E5" i="4"/>
  <c r="E4" i="4"/>
  <c r="E7" i="4" s="1"/>
  <c r="E3" i="4"/>
  <c r="E2" i="4"/>
  <c r="M7" i="3"/>
  <c r="L7" i="3"/>
  <c r="K7" i="3"/>
  <c r="J7" i="3"/>
  <c r="I7" i="3"/>
  <c r="H7" i="3"/>
  <c r="G7" i="3"/>
  <c r="F7" i="3"/>
  <c r="E7" i="3"/>
  <c r="D7" i="3"/>
  <c r="C7" i="3"/>
  <c r="M6" i="3"/>
  <c r="M5" i="3"/>
  <c r="M4" i="3"/>
  <c r="M3" i="3"/>
  <c r="M2" i="3"/>
  <c r="B12" i="2"/>
  <c r="B14" i="2" s="1"/>
  <c r="D11" i="2"/>
  <c r="D10" i="2"/>
  <c r="D9" i="2"/>
  <c r="E4" i="1" s="1"/>
  <c r="E5" i="1" s="1"/>
  <c r="D8" i="2"/>
  <c r="D7" i="2"/>
  <c r="D6" i="2"/>
  <c r="D5" i="2"/>
  <c r="D4" i="2"/>
  <c r="D3" i="2"/>
  <c r="D2" i="2"/>
  <c r="D12" i="2" s="1"/>
  <c r="B12" i="1"/>
  <c r="E6" i="1" s="1"/>
  <c r="B11" i="1"/>
  <c r="E9" i="1" s="1"/>
  <c r="B10" i="1"/>
  <c r="E8" i="1" s="1"/>
  <c r="B8" i="1"/>
  <c r="B9" i="1" s="1"/>
  <c r="E7" i="1"/>
  <c r="D13" i="2" l="1"/>
  <c r="D14" i="2"/>
</calcChain>
</file>

<file path=xl/sharedStrings.xml><?xml version="1.0" encoding="utf-8"?>
<sst xmlns="http://schemas.openxmlformats.org/spreadsheetml/2006/main" count="133" uniqueCount="129">
  <si>
    <t>Varnix SIMSM Tender Cost Model</t>
  </si>
  <si>
    <t>Procedure ID</t>
  </si>
  <si>
    <t>ocds-b3wdp1-MD-1779798670296</t>
  </si>
  <si>
    <t>Metric</t>
  </si>
  <si>
    <t>Value</t>
  </si>
  <si>
    <t>Note</t>
  </si>
  <si>
    <t>Object</t>
  </si>
  <si>
    <t>Development of the Information System for Monitoring Medicine Stocks (SIMSM)</t>
  </si>
  <si>
    <t>Labor subtotal</t>
  </si>
  <si>
    <t>Role hours x hourly rate</t>
  </si>
  <si>
    <t>Estimated tender value without VAT, MDL</t>
  </si>
  <si>
    <t>Commercial reserve / rounding</t>
  </si>
  <si>
    <t>Fixed price minus modeled labor</t>
  </si>
  <si>
    <t>Proposed offer without VAT, MDL</t>
  </si>
  <si>
    <t>Blended rate, MDL/hour</t>
  </si>
  <si>
    <t>Offer price / total hours</t>
  </si>
  <si>
    <t>VAT rate if applicable</t>
  </si>
  <si>
    <t>Budget headroom vs estimated value</t>
  </si>
  <si>
    <t>Estimated value - proposed price</t>
  </si>
  <si>
    <t>VAT amount, MDL</t>
  </si>
  <si>
    <t>Bid guarantee</t>
  </si>
  <si>
    <t>2% of offer without VAT</t>
  </si>
  <si>
    <t>Proposed offer including VAT, MDL</t>
  </si>
  <si>
    <t>Performance guarantee</t>
  </si>
  <si>
    <t>5% of awarded contract</t>
  </si>
  <si>
    <t>Bid guarantee 2%, MDL</t>
  </si>
  <si>
    <t>Model date</t>
  </si>
  <si>
    <t>23 June 2026</t>
  </si>
  <si>
    <t>Draft for Varnix review</t>
  </si>
  <si>
    <t>Performance guarantee 5%, MDL</t>
  </si>
  <si>
    <t>Total estimated hours</t>
  </si>
  <si>
    <t>Role</t>
  </si>
  <si>
    <t>Hours</t>
  </si>
  <si>
    <t>Rate MDL/hour</t>
  </si>
  <si>
    <t>Cost MDL without VAT</t>
  </si>
  <si>
    <t>Scope</t>
  </si>
  <si>
    <t>Project Manager / Team Lead</t>
  </si>
  <si>
    <t>Project governance, coordination, acceptance support</t>
  </si>
  <si>
    <t>Solution Architect / Senior Backend</t>
  </si>
  <si>
    <t>Architecture, integrations, senior review</t>
  </si>
  <si>
    <t>Data Analyst / Data Engineer</t>
  </si>
  <si>
    <t>Data model, aggregations, dashboards, alerts</t>
  </si>
  <si>
    <t>Backend Developer</t>
  </si>
  <si>
    <t>APIs, MPass/MConnect/MNotify/MLog, reporting logic</t>
  </si>
  <si>
    <t>Frontend Developer / UX</t>
  </si>
  <si>
    <t>FrontOffice, manual reporting, admin UI, accessibility</t>
  </si>
  <si>
    <t>DevOps Engineer</t>
  </si>
  <si>
    <t>Kubernetes, Helm, CI/CD, environments</t>
  </si>
  <si>
    <t>QA / Performance Engineer</t>
  </si>
  <si>
    <t>Functional, regression and performance testing</t>
  </si>
  <si>
    <t>Cybersecurity Engineer</t>
  </si>
  <si>
    <t>Threat model, OWASP, authorization/security testing</t>
  </si>
  <si>
    <t>Technical Writer / Trainer</t>
  </si>
  <si>
    <t>Documentation and training materials</t>
  </si>
  <si>
    <t>Management reserve / bugfix buffer</t>
  </si>
  <si>
    <t>Cross-role issue remediation and warranty preparation</t>
  </si>
  <si>
    <t>Fixed price reserve</t>
  </si>
  <si>
    <t>TOTAL OFFER PRICE WITHOUT VAT</t>
  </si>
  <si>
    <t>Phase</t>
  </si>
  <si>
    <t>Summary</t>
  </si>
  <si>
    <t>PM/TL</t>
  </si>
  <si>
    <t>Architect</t>
  </si>
  <si>
    <t>Data</t>
  </si>
  <si>
    <t>Backend</t>
  </si>
  <si>
    <t>Frontend</t>
  </si>
  <si>
    <t>DevOps</t>
  </si>
  <si>
    <t>QA/Perf</t>
  </si>
  <si>
    <t>Security</t>
  </si>
  <si>
    <t>Writer/Trainer</t>
  </si>
  <si>
    <t>Reserve</t>
  </si>
  <si>
    <t>Total Hours</t>
  </si>
  <si>
    <t>Weeks 0-4</t>
  </si>
  <si>
    <t>Analysis and final architecture</t>
  </si>
  <si>
    <t>Weeks 5-12</t>
  </si>
  <si>
    <t>Core development and first MVP</t>
  </si>
  <si>
    <t>Weeks 13-18</t>
  </si>
  <si>
    <t>Integrations and extended functionality</t>
  </si>
  <si>
    <t>Weeks 19-22</t>
  </si>
  <si>
    <t>Registrar integrations, production and performance</t>
  </si>
  <si>
    <t>Weeks 23-26</t>
  </si>
  <si>
    <t>Security, training, final adjustments and acceptance</t>
  </si>
  <si>
    <t>TOTAL</t>
  </si>
  <si>
    <t>Milestone</t>
  </si>
  <si>
    <t>Deliverable</t>
  </si>
  <si>
    <t>Timing</t>
  </si>
  <si>
    <t>Share</t>
  </si>
  <si>
    <t>Amount without VAT, MDL</t>
  </si>
  <si>
    <t>Notes</t>
  </si>
  <si>
    <t>M1</t>
  </si>
  <si>
    <t>Architecture and analysis accepted</t>
  </si>
  <si>
    <t>End of Week 4</t>
  </si>
  <si>
    <t>Architecture document, data model, API draft, test plan</t>
  </si>
  <si>
    <t>M2</t>
  </si>
  <si>
    <t>Core platform and MVP accepted</t>
  </si>
  <si>
    <t>End of Week 12</t>
  </si>
  <si>
    <t>Staging MVP, initial APIs, first performance test</t>
  </si>
  <si>
    <t>M3</t>
  </si>
  <si>
    <t>Integrations and extended functionality accepted</t>
  </si>
  <si>
    <t>End of Week 18</t>
  </si>
  <si>
    <t>MPass/MConnect/MNotify integrations, FrontOffice flows</t>
  </si>
  <si>
    <t>M4</t>
  </si>
  <si>
    <t>Production deployment, performance and documentation accepted</t>
  </si>
  <si>
    <t>End of Week 22</t>
  </si>
  <si>
    <t>Production deployment, repeated performance test, final guides</t>
  </si>
  <si>
    <t>M5</t>
  </si>
  <si>
    <t>Security testing, training and final acceptance</t>
  </si>
  <si>
    <t>End of Week 26</t>
  </si>
  <si>
    <t>Security report, training, final acceptance package</t>
  </si>
  <si>
    <t>Area</t>
  </si>
  <si>
    <t>Assumption / clarification</t>
  </si>
  <si>
    <t>Client access and decisions</t>
  </si>
  <si>
    <t>AMDM, AGE, STISC and platform owners provide timely access, decisions, credentials and approvals.</t>
  </si>
  <si>
    <t>Government platforms</t>
  </si>
  <si>
    <t>MPass, MConnect, MNotify, MLog and MCloud/KaaS access and support are provided by responsible parties.</t>
  </si>
  <si>
    <t>Scope baseline</t>
  </si>
  <si>
    <t>Fixed price covers the tender scope and agreed proposal. Material changes are subject to change control.</t>
  </si>
  <si>
    <t>Dashboard/alert baseline</t>
  </si>
  <si>
    <t>At least 10 aggregations, 10 visualizations and 10 alert/notification rules are included.</t>
  </si>
  <si>
    <t>Registrar systems</t>
  </si>
  <si>
    <t>Development inside external registrar systems is excluded; Varnix supports SIMSM API integration testing.</t>
  </si>
  <si>
    <t>Infrastructure</t>
  </si>
  <si>
    <t>Hardware, paid licenses and non-MCloud costs are excluded unless explicitly accepted.</t>
  </si>
  <si>
    <t>OWASP-oriented testing is included; independent external audit/certification is excluded unless added.</t>
  </si>
  <si>
    <t>Documentation languages</t>
  </si>
  <si>
    <t>Delivery documentation follows tender language requirements; this workbook is English for Varnix review.</t>
  </si>
  <si>
    <t>Warranty</t>
  </si>
  <si>
    <t>12 months warranty/maintenance included after final acceptance; new features are outside warranty.</t>
  </si>
  <si>
    <t>Pricing source</t>
  </si>
  <si>
    <t>Cost model is derived from Varnix internal SIMSM effort analysis, not from the attached Indictrans offer.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</si>
</sst>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b/>
      <sz val="11"/>
      <color rgb="FFFFFFFF"/>
      <name val="Carlito"/>
    </font>
    <font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0B4A6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0" xfId="1" applyFont="1" applyFill="1" applyAlignment="1">
      <alignment horizontal="center" vertical="top" wrapText="1"/>
    </xf>
    <xf numFmtId="0" fontId="0" fillId="0" borderId="0" xfId="1" applyFont="1" applyAlignment="1">
      <alignment vertical="top" wrapText="1"/>
    </xf>
    <xf numFmtId="4" fontId="0" fillId="0" borderId="0" xfId="1" applyNumberFormat="1" applyFont="1" applyAlignment="1">
      <alignment vertical="top" wrapText="1"/>
    </xf>
    <xf numFmtId="9" fontId="0" fillId="0" borderId="0" xfId="1" applyNumberFormat="1" applyFont="1" applyAlignment="1">
      <alignment vertical="top" wrapText="1"/>
    </xf>
    <xf numFmtId="3" fontId="0" fillId="0" borderId="0" xfId="1" applyNumberFormat="1" applyFont="1" applyAlignment="1">
      <alignment vertical="top" wrapText="1"/>
    </xf>
    <xf numFmtId="0" fontId="1" fillId="2" borderId="0" xfId="1" applyFont="1" applyFill="1" applyAlignment="1">
      <alignment horizontal="center" vertical="top" wrapText="1"/>
    </xf>
  </cellXfs>
  <cellStyles count="2">
    <cellStyle name="Обычный" xfId="0" builtinId="0"/>
    <cellStyle name="Normal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Total hours</c:v>
          </c:tx>
          <c:invertIfNegative val="1"/>
          <c:cat>
            <c:strRef>
              <c:f>'Phase Plan'!$A$2:$A$6</c:f>
              <c:strCache>
                <c:ptCount val="5"/>
                <c:pt idx="0">
                  <c:v>Weeks 0-4</c:v>
                </c:pt>
                <c:pt idx="1">
                  <c:v>Weeks 5-12</c:v>
                </c:pt>
                <c:pt idx="2">
                  <c:v>Weeks 13-18</c:v>
                </c:pt>
                <c:pt idx="3">
                  <c:v>Weeks 19-22</c:v>
                </c:pt>
                <c:pt idx="4">
                  <c:v>Weeks 23-26</c:v>
                </c:pt>
              </c:strCache>
            </c:strRef>
          </c:cat>
          <c:val>
            <c:numRef>
              <c:f>'Phase Plan'!$M$2:$M$6</c:f>
              <c:numCache>
                <c:formatCode>#,##0</c:formatCode>
                <c:ptCount val="5"/>
                <c:pt idx="0">
                  <c:v>650</c:v>
                </c:pt>
                <c:pt idx="1">
                  <c:v>1750</c:v>
                </c:pt>
                <c:pt idx="2">
                  <c:v>1600</c:v>
                </c:pt>
                <c:pt idx="3">
                  <c:v>850</c:v>
                </c:pt>
                <c:pt idx="4">
                  <c:v>710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AA-604C-99F3-AD600BA0E8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13</xdr:col>
      <xdr:colOff>0</xdr:colOff>
      <xdr:row>26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sqref="A1:F1"/>
    </sheetView>
  </sheetViews>
  <sheetFormatPr baseColWidth="10" defaultColWidth="8.83203125" defaultRowHeight="14"/>
  <cols>
    <col min="1" max="1" width="28" customWidth="1"/>
    <col min="2" max="2" width="45" customWidth="1"/>
    <col min="4" max="4" width="28" customWidth="1"/>
    <col min="5" max="5" width="20" customWidth="1"/>
    <col min="6" max="6" width="32" customWidth="1"/>
  </cols>
  <sheetData>
    <row r="1" spans="1:6" ht="15">
      <c r="A1" s="6" t="s">
        <v>0</v>
      </c>
      <c r="B1" s="6"/>
      <c r="C1" s="6"/>
      <c r="D1" s="6"/>
      <c r="E1" s="6"/>
      <c r="F1" s="6"/>
    </row>
    <row r="2" spans="1:6">
      <c r="A2" s="2"/>
      <c r="B2" s="2"/>
      <c r="C2" s="2"/>
      <c r="D2" s="2"/>
      <c r="E2" s="2"/>
      <c r="F2" s="2"/>
    </row>
    <row r="3" spans="1:6" ht="15">
      <c r="A3" s="2" t="s">
        <v>1</v>
      </c>
      <c r="B3" s="2" t="s">
        <v>2</v>
      </c>
      <c r="C3" s="2"/>
      <c r="D3" s="2" t="s">
        <v>3</v>
      </c>
      <c r="E3" s="2" t="s">
        <v>4</v>
      </c>
      <c r="F3" s="2" t="s">
        <v>5</v>
      </c>
    </row>
    <row r="4" spans="1:6" ht="30">
      <c r="A4" s="2" t="s">
        <v>6</v>
      </c>
      <c r="B4" s="2" t="s">
        <v>7</v>
      </c>
      <c r="C4" s="2"/>
      <c r="D4" s="2" t="s">
        <v>8</v>
      </c>
      <c r="E4" s="3">
        <f>SUM('Cost by Role'!D2:D11)</f>
        <v>2795660</v>
      </c>
      <c r="F4" s="2" t="s">
        <v>9</v>
      </c>
    </row>
    <row r="5" spans="1:6" ht="30">
      <c r="A5" s="2" t="s">
        <v>10</v>
      </c>
      <c r="B5" s="3">
        <v>2872666.66</v>
      </c>
      <c r="C5" s="2"/>
      <c r="D5" s="2" t="s">
        <v>11</v>
      </c>
      <c r="E5" s="3">
        <f>B6-E4</f>
        <v>69340</v>
      </c>
      <c r="F5" s="2" t="s">
        <v>12</v>
      </c>
    </row>
    <row r="6" spans="1:6" ht="30">
      <c r="A6" s="2" t="s">
        <v>13</v>
      </c>
      <c r="B6" s="3">
        <v>2865000</v>
      </c>
      <c r="C6" s="2"/>
      <c r="D6" s="2" t="s">
        <v>14</v>
      </c>
      <c r="E6" s="3">
        <f>B6/B12</f>
        <v>515.28776978417261</v>
      </c>
      <c r="F6" s="2" t="s">
        <v>15</v>
      </c>
    </row>
    <row r="7" spans="1:6" ht="30">
      <c r="A7" s="2" t="s">
        <v>16</v>
      </c>
      <c r="B7" s="4">
        <v>0.2</v>
      </c>
      <c r="C7" s="2"/>
      <c r="D7" s="2" t="s">
        <v>17</v>
      </c>
      <c r="E7" s="3">
        <f>B5-B6</f>
        <v>7666.660000000149</v>
      </c>
      <c r="F7" s="2" t="s">
        <v>18</v>
      </c>
    </row>
    <row r="8" spans="1:6" ht="15">
      <c r="A8" s="2" t="s">
        <v>19</v>
      </c>
      <c r="B8" s="3">
        <f>B6*B7</f>
        <v>573000</v>
      </c>
      <c r="C8" s="2"/>
      <c r="D8" s="2" t="s">
        <v>20</v>
      </c>
      <c r="E8" s="3">
        <f>B10</f>
        <v>57300</v>
      </c>
      <c r="F8" s="2" t="s">
        <v>21</v>
      </c>
    </row>
    <row r="9" spans="1:6" ht="30">
      <c r="A9" s="2" t="s">
        <v>22</v>
      </c>
      <c r="B9" s="3">
        <f>B6+B8</f>
        <v>3438000</v>
      </c>
      <c r="C9" s="2"/>
      <c r="D9" s="2" t="s">
        <v>23</v>
      </c>
      <c r="E9" s="3">
        <f>B11</f>
        <v>143250</v>
      </c>
      <c r="F9" s="2" t="s">
        <v>24</v>
      </c>
    </row>
    <row r="10" spans="1:6" ht="15">
      <c r="A10" s="2" t="s">
        <v>25</v>
      </c>
      <c r="B10" s="3">
        <f>B6*2%</f>
        <v>57300</v>
      </c>
      <c r="C10" s="2"/>
      <c r="D10" s="2" t="s">
        <v>26</v>
      </c>
      <c r="E10" s="3" t="s">
        <v>27</v>
      </c>
      <c r="F10" s="2" t="s">
        <v>28</v>
      </c>
    </row>
    <row r="11" spans="1:6" ht="15">
      <c r="A11" s="2" t="s">
        <v>29</v>
      </c>
      <c r="B11" s="3">
        <f>B6*5%</f>
        <v>143250</v>
      </c>
      <c r="C11" s="2"/>
      <c r="D11" s="2"/>
      <c r="E11" s="2"/>
      <c r="F11" s="2"/>
    </row>
    <row r="12" spans="1:6" ht="15">
      <c r="A12" s="2" t="s">
        <v>30</v>
      </c>
      <c r="B12" s="2">
        <f>SUM('Cost by Role'!B2:B11)</f>
        <v>5560</v>
      </c>
      <c r="C12" s="2"/>
      <c r="D12" s="2"/>
      <c r="E12" s="2"/>
      <c r="F12" s="2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/>
  </sheetViews>
  <sheetFormatPr baseColWidth="10" defaultColWidth="8.83203125" defaultRowHeight="14"/>
  <cols>
    <col min="1" max="1" width="28" customWidth="1"/>
    <col min="2" max="4" width="15" customWidth="1"/>
    <col min="5" max="5" width="55" customWidth="1"/>
  </cols>
  <sheetData>
    <row r="1" spans="1:5" ht="32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</row>
    <row r="2" spans="1:5" ht="15">
      <c r="A2" s="2" t="s">
        <v>36</v>
      </c>
      <c r="B2" s="3">
        <v>520</v>
      </c>
      <c r="C2" s="3">
        <v>513</v>
      </c>
      <c r="D2" s="3">
        <f t="shared" ref="D2:D11" si="0">B2*C2</f>
        <v>266760</v>
      </c>
      <c r="E2" s="2" t="s">
        <v>37</v>
      </c>
    </row>
    <row r="3" spans="1:5" ht="30">
      <c r="A3" s="2" t="s">
        <v>38</v>
      </c>
      <c r="B3" s="3">
        <v>300</v>
      </c>
      <c r="C3" s="3">
        <v>650</v>
      </c>
      <c r="D3" s="3">
        <f t="shared" si="0"/>
        <v>195000</v>
      </c>
      <c r="E3" s="2" t="s">
        <v>39</v>
      </c>
    </row>
    <row r="4" spans="1:5" ht="15">
      <c r="A4" s="2" t="s">
        <v>40</v>
      </c>
      <c r="B4" s="3">
        <v>650</v>
      </c>
      <c r="C4" s="3">
        <v>547</v>
      </c>
      <c r="D4" s="3">
        <f t="shared" si="0"/>
        <v>355550</v>
      </c>
      <c r="E4" s="2" t="s">
        <v>41</v>
      </c>
    </row>
    <row r="5" spans="1:5" ht="15">
      <c r="A5" s="2" t="s">
        <v>42</v>
      </c>
      <c r="B5" s="3">
        <v>1350</v>
      </c>
      <c r="C5" s="3">
        <v>513</v>
      </c>
      <c r="D5" s="3">
        <f t="shared" si="0"/>
        <v>692550</v>
      </c>
      <c r="E5" s="2" t="s">
        <v>43</v>
      </c>
    </row>
    <row r="6" spans="1:5" ht="15">
      <c r="A6" s="2" t="s">
        <v>44</v>
      </c>
      <c r="B6" s="3">
        <v>900</v>
      </c>
      <c r="C6" s="3">
        <v>479</v>
      </c>
      <c r="D6" s="3">
        <f t="shared" si="0"/>
        <v>431100</v>
      </c>
      <c r="E6" s="2" t="s">
        <v>45</v>
      </c>
    </row>
    <row r="7" spans="1:5" ht="15">
      <c r="A7" s="2" t="s">
        <v>46</v>
      </c>
      <c r="B7" s="3">
        <v>520</v>
      </c>
      <c r="C7" s="3">
        <v>599</v>
      </c>
      <c r="D7" s="3">
        <f t="shared" si="0"/>
        <v>311480</v>
      </c>
      <c r="E7" s="2" t="s">
        <v>47</v>
      </c>
    </row>
    <row r="8" spans="1:5" ht="15">
      <c r="A8" s="2" t="s">
        <v>48</v>
      </c>
      <c r="B8" s="3">
        <v>600</v>
      </c>
      <c r="C8" s="3">
        <v>376</v>
      </c>
      <c r="D8" s="3">
        <f t="shared" si="0"/>
        <v>225600</v>
      </c>
      <c r="E8" s="2" t="s">
        <v>49</v>
      </c>
    </row>
    <row r="9" spans="1:5" ht="15">
      <c r="A9" s="2" t="s">
        <v>50</v>
      </c>
      <c r="B9" s="3">
        <v>160</v>
      </c>
      <c r="C9" s="3">
        <v>684</v>
      </c>
      <c r="D9" s="3">
        <f t="shared" si="0"/>
        <v>109440</v>
      </c>
      <c r="E9" s="2" t="s">
        <v>51</v>
      </c>
    </row>
    <row r="10" spans="1:5" ht="15">
      <c r="A10" s="2" t="s">
        <v>52</v>
      </c>
      <c r="B10" s="3">
        <v>260</v>
      </c>
      <c r="C10" s="3">
        <v>308</v>
      </c>
      <c r="D10" s="3">
        <f t="shared" si="0"/>
        <v>80080</v>
      </c>
      <c r="E10" s="2" t="s">
        <v>53</v>
      </c>
    </row>
    <row r="11" spans="1:5" ht="30">
      <c r="A11" s="2" t="s">
        <v>54</v>
      </c>
      <c r="B11" s="3">
        <v>300</v>
      </c>
      <c r="C11" s="3">
        <v>427</v>
      </c>
      <c r="D11" s="3">
        <f t="shared" si="0"/>
        <v>128100</v>
      </c>
      <c r="E11" s="2" t="s">
        <v>55</v>
      </c>
    </row>
    <row r="12" spans="1:5" ht="15">
      <c r="A12" s="2" t="s">
        <v>8</v>
      </c>
      <c r="B12" s="3">
        <f>SUM(B2:B11)</f>
        <v>5560</v>
      </c>
      <c r="C12" s="3"/>
      <c r="D12" s="3">
        <f>SUM(D2:D11)</f>
        <v>2795660</v>
      </c>
      <c r="E12" s="2"/>
    </row>
    <row r="13" spans="1:5" ht="15">
      <c r="A13" s="2" t="s">
        <v>11</v>
      </c>
      <c r="B13" s="3"/>
      <c r="C13" s="3"/>
      <c r="D13" s="3">
        <f>Summary!B6-D12</f>
        <v>69340</v>
      </c>
      <c r="E13" s="2" t="s">
        <v>56</v>
      </c>
    </row>
    <row r="14" spans="1:5" ht="30">
      <c r="A14" s="2" t="s">
        <v>57</v>
      </c>
      <c r="B14" s="3">
        <f>B12</f>
        <v>5560</v>
      </c>
      <c r="C14" s="3"/>
      <c r="D14" s="3">
        <f>D12+D13</f>
        <v>2865000</v>
      </c>
      <c r="E1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"/>
  <sheetViews>
    <sheetView workbookViewId="0"/>
  </sheetViews>
  <sheetFormatPr baseColWidth="10" defaultColWidth="8.83203125" defaultRowHeight="14"/>
  <cols>
    <col min="1" max="1" width="13" customWidth="1"/>
    <col min="2" max="2" width="35" customWidth="1"/>
    <col min="3" max="13" width="10" customWidth="1"/>
  </cols>
  <sheetData>
    <row r="1" spans="1:13" ht="32">
      <c r="A1" s="1" t="s">
        <v>58</v>
      </c>
      <c r="B1" s="1" t="s">
        <v>59</v>
      </c>
      <c r="C1" s="1" t="s">
        <v>60</v>
      </c>
      <c r="D1" s="1" t="s">
        <v>61</v>
      </c>
      <c r="E1" s="1" t="s">
        <v>62</v>
      </c>
      <c r="F1" s="1" t="s">
        <v>63</v>
      </c>
      <c r="G1" s="1" t="s">
        <v>64</v>
      </c>
      <c r="H1" s="1" t="s">
        <v>65</v>
      </c>
      <c r="I1" s="1" t="s">
        <v>66</v>
      </c>
      <c r="J1" s="1" t="s">
        <v>67</v>
      </c>
      <c r="K1" s="1" t="s">
        <v>68</v>
      </c>
      <c r="L1" s="1" t="s">
        <v>69</v>
      </c>
      <c r="M1" s="1" t="s">
        <v>70</v>
      </c>
    </row>
    <row r="2" spans="1:13" ht="15">
      <c r="A2" s="2" t="s">
        <v>71</v>
      </c>
      <c r="B2" s="2" t="s">
        <v>72</v>
      </c>
      <c r="C2" s="5">
        <v>100</v>
      </c>
      <c r="D2" s="5">
        <v>100</v>
      </c>
      <c r="E2" s="5">
        <v>120</v>
      </c>
      <c r="F2" s="5">
        <v>90</v>
      </c>
      <c r="G2" s="5">
        <v>60</v>
      </c>
      <c r="H2" s="5">
        <v>50</v>
      </c>
      <c r="I2" s="5">
        <v>70</v>
      </c>
      <c r="J2" s="5">
        <v>30</v>
      </c>
      <c r="K2" s="5">
        <v>30</v>
      </c>
      <c r="L2" s="5">
        <v>0</v>
      </c>
      <c r="M2" s="5">
        <f>SUM(C2:L2)</f>
        <v>650</v>
      </c>
    </row>
    <row r="3" spans="1:13" ht="15">
      <c r="A3" s="2" t="s">
        <v>73</v>
      </c>
      <c r="B3" s="2" t="s">
        <v>74</v>
      </c>
      <c r="C3" s="5">
        <v>120</v>
      </c>
      <c r="D3" s="5">
        <v>70</v>
      </c>
      <c r="E3" s="5">
        <v>190</v>
      </c>
      <c r="F3" s="5">
        <v>470</v>
      </c>
      <c r="G3" s="5">
        <v>420</v>
      </c>
      <c r="H3" s="5">
        <v>150</v>
      </c>
      <c r="I3" s="5">
        <v>160</v>
      </c>
      <c r="J3" s="5">
        <v>20</v>
      </c>
      <c r="K3" s="5">
        <v>40</v>
      </c>
      <c r="L3" s="5">
        <v>110</v>
      </c>
      <c r="M3" s="5">
        <f>SUM(C3:L3)</f>
        <v>1750</v>
      </c>
    </row>
    <row r="4" spans="1:13" ht="15">
      <c r="A4" s="2" t="s">
        <v>75</v>
      </c>
      <c r="B4" s="2" t="s">
        <v>76</v>
      </c>
      <c r="C4" s="5">
        <v>130</v>
      </c>
      <c r="D4" s="5">
        <v>70</v>
      </c>
      <c r="E4" s="5">
        <v>190</v>
      </c>
      <c r="F4" s="5">
        <v>510</v>
      </c>
      <c r="G4" s="5">
        <v>280</v>
      </c>
      <c r="H4" s="5">
        <v>140</v>
      </c>
      <c r="I4" s="5">
        <v>150</v>
      </c>
      <c r="J4" s="5">
        <v>50</v>
      </c>
      <c r="K4" s="5">
        <v>40</v>
      </c>
      <c r="L4" s="5">
        <v>40</v>
      </c>
      <c r="M4" s="5">
        <f>SUM(C4:L4)</f>
        <v>1600</v>
      </c>
    </row>
    <row r="5" spans="1:13" ht="30">
      <c r="A5" s="2" t="s">
        <v>77</v>
      </c>
      <c r="B5" s="2" t="s">
        <v>78</v>
      </c>
      <c r="C5" s="5">
        <v>90</v>
      </c>
      <c r="D5" s="5">
        <v>40</v>
      </c>
      <c r="E5" s="5">
        <v>90</v>
      </c>
      <c r="F5" s="5">
        <v>170</v>
      </c>
      <c r="G5" s="5">
        <v>80</v>
      </c>
      <c r="H5" s="5">
        <v>130</v>
      </c>
      <c r="I5" s="5">
        <v>150</v>
      </c>
      <c r="J5" s="5">
        <v>40</v>
      </c>
      <c r="K5" s="5">
        <v>50</v>
      </c>
      <c r="L5" s="5">
        <v>10</v>
      </c>
      <c r="M5" s="5">
        <f>SUM(C5:L5)</f>
        <v>850</v>
      </c>
    </row>
    <row r="6" spans="1:13" ht="30">
      <c r="A6" s="2" t="s">
        <v>79</v>
      </c>
      <c r="B6" s="2" t="s">
        <v>80</v>
      </c>
      <c r="C6" s="5">
        <v>80</v>
      </c>
      <c r="D6" s="5">
        <v>20</v>
      </c>
      <c r="E6" s="5">
        <v>60</v>
      </c>
      <c r="F6" s="5">
        <v>110</v>
      </c>
      <c r="G6" s="5">
        <v>60</v>
      </c>
      <c r="H6" s="5">
        <v>50</v>
      </c>
      <c r="I6" s="5">
        <v>70</v>
      </c>
      <c r="J6" s="5">
        <v>20</v>
      </c>
      <c r="K6" s="5">
        <v>100</v>
      </c>
      <c r="L6" s="5">
        <v>140</v>
      </c>
      <c r="M6" s="5">
        <f>SUM(C6:L6)</f>
        <v>710</v>
      </c>
    </row>
    <row r="7" spans="1:13" ht="15">
      <c r="A7" s="2" t="s">
        <v>81</v>
      </c>
      <c r="B7" s="2"/>
      <c r="C7" s="5">
        <f t="shared" ref="C7:M7" si="0">SUM(C2:C6)</f>
        <v>520</v>
      </c>
      <c r="D7" s="5">
        <f t="shared" si="0"/>
        <v>300</v>
      </c>
      <c r="E7" s="5">
        <f t="shared" si="0"/>
        <v>650</v>
      </c>
      <c r="F7" s="5">
        <f t="shared" si="0"/>
        <v>1350</v>
      </c>
      <c r="G7" s="5">
        <f t="shared" si="0"/>
        <v>900</v>
      </c>
      <c r="H7" s="5">
        <f t="shared" si="0"/>
        <v>520</v>
      </c>
      <c r="I7" s="5">
        <f t="shared" si="0"/>
        <v>600</v>
      </c>
      <c r="J7" s="5">
        <f t="shared" si="0"/>
        <v>160</v>
      </c>
      <c r="K7" s="5">
        <f t="shared" si="0"/>
        <v>260</v>
      </c>
      <c r="L7" s="5">
        <f t="shared" si="0"/>
        <v>300</v>
      </c>
      <c r="M7" s="5">
        <f t="shared" si="0"/>
        <v>5560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"/>
  <sheetViews>
    <sheetView workbookViewId="0"/>
  </sheetViews>
  <sheetFormatPr baseColWidth="10" defaultColWidth="8.83203125" defaultRowHeight="14"/>
  <cols>
    <col min="1" max="1" width="11" customWidth="1"/>
    <col min="2" max="2" width="40" customWidth="1"/>
    <col min="3" max="5" width="18" customWidth="1"/>
    <col min="6" max="6" width="45" customWidth="1"/>
  </cols>
  <sheetData>
    <row r="1" spans="1:6" ht="32">
      <c r="A1" s="1" t="s">
        <v>82</v>
      </c>
      <c r="B1" s="1" t="s">
        <v>83</v>
      </c>
      <c r="C1" s="1" t="s">
        <v>84</v>
      </c>
      <c r="D1" s="1" t="s">
        <v>85</v>
      </c>
      <c r="E1" s="1" t="s">
        <v>86</v>
      </c>
      <c r="F1" s="1" t="s">
        <v>87</v>
      </c>
    </row>
    <row r="2" spans="1:6" ht="15">
      <c r="A2" s="2" t="s">
        <v>88</v>
      </c>
      <c r="B2" s="2" t="s">
        <v>89</v>
      </c>
      <c r="C2" s="2" t="s">
        <v>90</v>
      </c>
      <c r="D2" s="4">
        <v>0.15</v>
      </c>
      <c r="E2" s="3">
        <f>Summary!B6*D2</f>
        <v>429750</v>
      </c>
      <c r="F2" s="2" t="s">
        <v>91</v>
      </c>
    </row>
    <row r="3" spans="1:6" ht="15">
      <c r="A3" s="2" t="s">
        <v>92</v>
      </c>
      <c r="B3" s="2" t="s">
        <v>93</v>
      </c>
      <c r="C3" s="2" t="s">
        <v>94</v>
      </c>
      <c r="D3" s="4">
        <v>0.3</v>
      </c>
      <c r="E3" s="3">
        <f>Summary!B6*D3</f>
        <v>859500</v>
      </c>
      <c r="F3" s="2" t="s">
        <v>95</v>
      </c>
    </row>
    <row r="4" spans="1:6" ht="30">
      <c r="A4" s="2" t="s">
        <v>96</v>
      </c>
      <c r="B4" s="2" t="s">
        <v>97</v>
      </c>
      <c r="C4" s="2" t="s">
        <v>98</v>
      </c>
      <c r="D4" s="4">
        <v>0.25</v>
      </c>
      <c r="E4" s="3">
        <f>Summary!B6*D4</f>
        <v>716250</v>
      </c>
      <c r="F4" s="2" t="s">
        <v>99</v>
      </c>
    </row>
    <row r="5" spans="1:6" ht="30">
      <c r="A5" s="2" t="s">
        <v>100</v>
      </c>
      <c r="B5" s="2" t="s">
        <v>101</v>
      </c>
      <c r="C5" s="2" t="s">
        <v>102</v>
      </c>
      <c r="D5" s="4">
        <v>0.2</v>
      </c>
      <c r="E5" s="3">
        <f>Summary!B6*D5</f>
        <v>573000</v>
      </c>
      <c r="F5" s="2" t="s">
        <v>103</v>
      </c>
    </row>
    <row r="6" spans="1:6" ht="15">
      <c r="A6" s="2" t="s">
        <v>104</v>
      </c>
      <c r="B6" s="2" t="s">
        <v>105</v>
      </c>
      <c r="C6" s="2" t="s">
        <v>106</v>
      </c>
      <c r="D6" s="4">
        <v>0.1</v>
      </c>
      <c r="E6" s="3">
        <f>Summary!B6*D6</f>
        <v>286500</v>
      </c>
      <c r="F6" s="2" t="s">
        <v>107</v>
      </c>
    </row>
    <row r="7" spans="1:6" ht="15">
      <c r="A7" s="2" t="s">
        <v>81</v>
      </c>
      <c r="B7" s="2"/>
      <c r="C7" s="2"/>
      <c r="D7" s="4">
        <f>SUM(D2:D6)</f>
        <v>0.99999999999999989</v>
      </c>
      <c r="E7" s="3">
        <f>SUM(E2:E6)</f>
        <v>2865000</v>
      </c>
      <c r="F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"/>
  <sheetViews>
    <sheetView workbookViewId="0"/>
  </sheetViews>
  <sheetFormatPr baseColWidth="10" defaultColWidth="8.83203125" defaultRowHeight="14"/>
  <cols>
    <col min="1" max="1" width="25" customWidth="1"/>
    <col min="2" max="2" width="80" customWidth="1"/>
  </cols>
  <sheetData>
    <row r="1" spans="1:2" ht="16">
      <c r="A1" s="1" t="s">
        <v>108</v>
      </c>
      <c r="B1" s="1" t="s">
        <v>109</v>
      </c>
    </row>
    <row r="2" spans="1:2" ht="30">
      <c r="A2" s="2" t="s">
        <v>110</v>
      </c>
      <c r="B2" s="2" t="s">
        <v>111</v>
      </c>
    </row>
    <row r="3" spans="1:2" ht="30">
      <c r="A3" s="2" t="s">
        <v>112</v>
      </c>
      <c r="B3" s="2" t="s">
        <v>113</v>
      </c>
    </row>
    <row r="4" spans="1:2" ht="30">
      <c r="A4" s="2" t="s">
        <v>114</v>
      </c>
      <c r="B4" s="2" t="s">
        <v>115</v>
      </c>
    </row>
    <row r="5" spans="1:2" ht="15">
      <c r="A5" s="2" t="s">
        <v>116</v>
      </c>
      <c r="B5" s="2" t="s">
        <v>117</v>
      </c>
    </row>
    <row r="6" spans="1:2" ht="30">
      <c r="A6" s="2" t="s">
        <v>118</v>
      </c>
      <c r="B6" s="2" t="s">
        <v>119</v>
      </c>
    </row>
    <row r="7" spans="1:2" ht="15">
      <c r="A7" s="2" t="s">
        <v>120</v>
      </c>
      <c r="B7" s="2" t="s">
        <v>121</v>
      </c>
    </row>
    <row r="8" spans="1:2" ht="30">
      <c r="A8" s="2" t="s">
        <v>67</v>
      </c>
      <c r="B8" s="2" t="s">
        <v>122</v>
      </c>
    </row>
    <row r="9" spans="1:2" ht="30">
      <c r="A9" s="2" t="s">
        <v>123</v>
      </c>
      <c r="B9" s="2" t="s">
        <v>124</v>
      </c>
    </row>
    <row r="10" spans="1:2" ht="30">
      <c r="A10" s="2" t="s">
        <v>125</v>
      </c>
      <c r="B10" s="2" t="s">
        <v>126</v>
      </c>
    </row>
    <row r="11" spans="1:2" ht="30">
      <c r="A11" s="2" t="s">
        <v>127</v>
      </c>
      <c r="B11" s="2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Summary</vt:lpstr>
      <vt:lpstr>Cost by Role</vt:lpstr>
      <vt:lpstr>Phase Plan</vt:lpstr>
      <vt:lpstr>Payment Milestones</vt:lpstr>
      <vt:lpstr>Assumptions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Nataliia Konoplia</cp:lastModifiedBy>
  <dcterms:modified xsi:type="dcterms:W3CDTF">2026-06-23T14:45:42Z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623b29-abd1-4de3-a20c-27566d79b7c7_Enabled">
    <vt:lpwstr>true</vt:lpwstr>
  </property>
  <property fmtid="{D5CDD505-2E9C-101B-9397-08002B2CF9AE}" pid="3" name="MSIP_Label_3b623b29-abd1-4de3-a20c-27566d79b7c7_SetDate">
    <vt:lpwstr>2026-06-23T14:45:42Z</vt:lpwstr>
  </property>
  <property fmtid="{D5CDD505-2E9C-101B-9397-08002B2CF9AE}" pid="4" name="MSIP_Label_3b623b29-abd1-4de3-a20c-27566d79b7c7_Method">
    <vt:lpwstr>Standard</vt:lpwstr>
  </property>
  <property fmtid="{D5CDD505-2E9C-101B-9397-08002B2CF9AE}" pid="5" name="MSIP_Label_3b623b29-abd1-4de3-a20c-27566d79b7c7_Name">
    <vt:lpwstr>3b623b29-abd1-4de3-a20c-27566d79b7c7</vt:lpwstr>
  </property>
  <property fmtid="{D5CDD505-2E9C-101B-9397-08002B2CF9AE}" pid="6" name="MSIP_Label_3b623b29-abd1-4de3-a20c-27566d79b7c7_SiteId">
    <vt:lpwstr>cbede638-a3d9-459f-8f4e-24ced73b4e5e</vt:lpwstr>
  </property>
  <property fmtid="{D5CDD505-2E9C-101B-9397-08002B2CF9AE}" pid="7" name="MSIP_Label_3b623b29-abd1-4de3-a20c-27566d79b7c7_ActionId">
    <vt:lpwstr>55c02a20-b850-47f5-9c9d-5b4d9cdb2e6a</vt:lpwstr>
  </property>
  <property fmtid="{D5CDD505-2E9C-101B-9397-08002B2CF9AE}" pid="8" name="MSIP_Label_3b623b29-abd1-4de3-a20c-27566d79b7c7_ContentBits">
    <vt:lpwstr>0</vt:lpwstr>
  </property>
  <property fmtid="{D5CDD505-2E9C-101B-9397-08002B2CF9AE}" pid="9" name="MSIP_Label_3b623b29-abd1-4de3-a20c-27566d79b7c7_Tag">
    <vt:lpwstr>50, 3, 0, 1</vt:lpwstr>
  </property>
</Properties>
</file>