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192.168.110.2\Dispozitive\+LP ADM 2026\+PROCEDURI CENTRALIZATE\21483087 Instrumentar Partea I\Modificare 24.10.2025\"/>
    </mc:Choice>
  </mc:AlternateContent>
  <xr:revisionPtr revIDLastSave="0" documentId="13_ncr:1_{DD65BFD4-E161-43AA-9F67-192808479688}" xr6:coauthVersionLast="47" xr6:coauthVersionMax="47" xr10:uidLastSave="{00000000-0000-0000-0000-000000000000}"/>
  <bookViews>
    <workbookView xWindow="-120" yWindow="-120" windowWidth="29040" windowHeight="15720" xr2:uid="{BBA38C45-B537-40E9-93E4-1667F34D222A}"/>
  </bookViews>
  <sheets>
    <sheet name="Sheet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304" i="1" l="1"/>
  <c r="BF304" i="1"/>
  <c r="BE304" i="1"/>
  <c r="BD304" i="1"/>
  <c r="BC304" i="1"/>
  <c r="BB304" i="1"/>
  <c r="BA304" i="1"/>
  <c r="AZ304" i="1"/>
  <c r="AY304" i="1"/>
  <c r="AX304" i="1"/>
  <c r="AW304" i="1"/>
  <c r="AV304" i="1"/>
  <c r="AU304" i="1"/>
  <c r="AT304" i="1"/>
  <c r="AS304" i="1"/>
  <c r="AR304" i="1"/>
  <c r="AQ304" i="1"/>
  <c r="AP304" i="1"/>
  <c r="AO304" i="1"/>
  <c r="AN304" i="1"/>
  <c r="AM304" i="1"/>
  <c r="AL304" i="1"/>
  <c r="AK304" i="1"/>
  <c r="AJ304" i="1"/>
  <c r="AI304" i="1"/>
  <c r="AH304" i="1"/>
  <c r="AG304" i="1"/>
  <c r="AF304" i="1"/>
  <c r="AE304" i="1"/>
  <c r="AD304" i="1"/>
  <c r="AC304" i="1"/>
  <c r="AB304" i="1"/>
  <c r="AA304" i="1"/>
  <c r="Z304" i="1"/>
  <c r="Y304" i="1"/>
  <c r="X304" i="1"/>
  <c r="W304" i="1"/>
  <c r="V304" i="1"/>
  <c r="U304" i="1"/>
  <c r="T304" i="1"/>
  <c r="S304" i="1"/>
  <c r="R304" i="1"/>
  <c r="Q304" i="1"/>
  <c r="P304" i="1"/>
  <c r="O304" i="1"/>
  <c r="N304" i="1"/>
  <c r="M304" i="1"/>
  <c r="L304" i="1"/>
  <c r="K304" i="1"/>
  <c r="J304" i="1"/>
  <c r="I304" i="1"/>
  <c r="H304" i="1"/>
  <c r="G304" i="1"/>
  <c r="BI303" i="1"/>
  <c r="BH303" i="1"/>
  <c r="BH302" i="1"/>
  <c r="BI302" i="1" s="1"/>
  <c r="BI301" i="1"/>
  <c r="BH301" i="1"/>
  <c r="BH300" i="1"/>
  <c r="BI300" i="1" s="1"/>
  <c r="BI299" i="1"/>
  <c r="BH299" i="1"/>
  <c r="BH298" i="1"/>
  <c r="BI298" i="1" s="1"/>
  <c r="BI297" i="1"/>
  <c r="BH297" i="1"/>
  <c r="BH296" i="1"/>
  <c r="BI296" i="1" s="1"/>
  <c r="BI295" i="1"/>
  <c r="BH295" i="1"/>
  <c r="BH294" i="1"/>
  <c r="BI294" i="1" s="1"/>
  <c r="BH293" i="1"/>
  <c r="BI293" i="1" s="1"/>
  <c r="BH292" i="1"/>
  <c r="BI292" i="1" s="1"/>
  <c r="BI291" i="1"/>
  <c r="BH291" i="1"/>
  <c r="BH290" i="1"/>
  <c r="BI290" i="1" s="1"/>
  <c r="BI289" i="1"/>
  <c r="BH289" i="1"/>
  <c r="BH288" i="1"/>
  <c r="BI288" i="1" s="1"/>
  <c r="BI287" i="1"/>
  <c r="BH287" i="1"/>
  <c r="BH286" i="1"/>
  <c r="BI286" i="1" s="1"/>
  <c r="BH285" i="1"/>
  <c r="BI285" i="1" s="1"/>
  <c r="BH284" i="1"/>
  <c r="BI284" i="1" s="1"/>
  <c r="BI283" i="1"/>
  <c r="BH283" i="1"/>
  <c r="BH282" i="1"/>
  <c r="BI282" i="1" s="1"/>
  <c r="BH281" i="1"/>
  <c r="BI281" i="1" s="1"/>
  <c r="BH280" i="1"/>
  <c r="BI280" i="1" s="1"/>
  <c r="BI279" i="1"/>
  <c r="BH279" i="1"/>
  <c r="BH278" i="1"/>
  <c r="BI278" i="1" s="1"/>
  <c r="BH277" i="1"/>
  <c r="BI277" i="1" s="1"/>
  <c r="BH276" i="1"/>
  <c r="BI276" i="1" s="1"/>
  <c r="BI275" i="1"/>
  <c r="BH275" i="1"/>
  <c r="BH274" i="1"/>
  <c r="BI274" i="1" s="1"/>
  <c r="BH273" i="1"/>
  <c r="BI273" i="1" s="1"/>
  <c r="BH272" i="1"/>
  <c r="BI272" i="1" s="1"/>
  <c r="BI271" i="1"/>
  <c r="BH271" i="1"/>
  <c r="BH270" i="1"/>
  <c r="BI270" i="1" s="1"/>
  <c r="BH269" i="1"/>
  <c r="BI269" i="1" s="1"/>
  <c r="BH268" i="1"/>
  <c r="BI268" i="1" s="1"/>
  <c r="BI267" i="1"/>
  <c r="BH267" i="1"/>
  <c r="BH266" i="1"/>
  <c r="BI266" i="1" s="1"/>
  <c r="BH265" i="1"/>
  <c r="BI265" i="1" s="1"/>
  <c r="BH264" i="1"/>
  <c r="BI264" i="1" s="1"/>
  <c r="BI263" i="1"/>
  <c r="BH263" i="1"/>
  <c r="BH262" i="1"/>
  <c r="BI262" i="1" s="1"/>
  <c r="BH261" i="1"/>
  <c r="BI261" i="1" s="1"/>
  <c r="BH260" i="1"/>
  <c r="BI260" i="1" s="1"/>
  <c r="BI259" i="1"/>
  <c r="BH259" i="1"/>
  <c r="BH258" i="1"/>
  <c r="BI258" i="1" s="1"/>
  <c r="BH257" i="1"/>
  <c r="BI257" i="1" s="1"/>
  <c r="BH256" i="1"/>
  <c r="BI256" i="1" s="1"/>
  <c r="BI255" i="1"/>
  <c r="BH255" i="1"/>
  <c r="BH254" i="1"/>
  <c r="BI254" i="1" s="1"/>
  <c r="BH253" i="1"/>
  <c r="BI253" i="1" s="1"/>
  <c r="BH252" i="1"/>
  <c r="BI252" i="1" s="1"/>
  <c r="BI251" i="1"/>
  <c r="BH251" i="1"/>
  <c r="BH250" i="1"/>
  <c r="BI250" i="1" s="1"/>
  <c r="BH249" i="1"/>
  <c r="BI249" i="1" s="1"/>
  <c r="BH248" i="1"/>
  <c r="BI248" i="1" s="1"/>
  <c r="BH247" i="1"/>
  <c r="BI247" i="1" s="1"/>
  <c r="BH246" i="1"/>
  <c r="BI246" i="1" s="1"/>
  <c r="BH245" i="1"/>
  <c r="BI245" i="1" s="1"/>
  <c r="BH244" i="1"/>
  <c r="BI244" i="1" s="1"/>
  <c r="BI243" i="1"/>
  <c r="BH243" i="1"/>
  <c r="BH242" i="1"/>
  <c r="BI242" i="1" s="1"/>
  <c r="BH241" i="1"/>
  <c r="BI241" i="1" s="1"/>
  <c r="BH240" i="1"/>
  <c r="BI240" i="1" s="1"/>
  <c r="BI239" i="1"/>
  <c r="BH239" i="1"/>
  <c r="BH238" i="1"/>
  <c r="BI238" i="1" s="1"/>
  <c r="BH237" i="1"/>
  <c r="BI237" i="1" s="1"/>
  <c r="BH236" i="1"/>
  <c r="BI236" i="1" s="1"/>
  <c r="BH235" i="1"/>
  <c r="BI235" i="1" s="1"/>
  <c r="BH234" i="1"/>
  <c r="BI234" i="1" s="1"/>
  <c r="BH233" i="1"/>
  <c r="BI233" i="1" s="1"/>
  <c r="BH232" i="1"/>
  <c r="BI232" i="1" s="1"/>
  <c r="BH231" i="1"/>
  <c r="BI231" i="1" s="1"/>
  <c r="BH230" i="1"/>
  <c r="BI230" i="1" s="1"/>
  <c r="BH229" i="1"/>
  <c r="BI229" i="1" s="1"/>
  <c r="BH228" i="1"/>
  <c r="BI228" i="1" s="1"/>
  <c r="BH227" i="1"/>
  <c r="BI227" i="1" s="1"/>
  <c r="BH226" i="1"/>
  <c r="BI226" i="1" s="1"/>
  <c r="BH225" i="1"/>
  <c r="BI225" i="1" s="1"/>
  <c r="BH224" i="1"/>
  <c r="BI224" i="1" s="1"/>
  <c r="BH223" i="1"/>
  <c r="BI223" i="1" s="1"/>
  <c r="BH222" i="1"/>
  <c r="BI222" i="1" s="1"/>
  <c r="BH221" i="1"/>
  <c r="BI221" i="1" s="1"/>
  <c r="BH220" i="1"/>
  <c r="BI220" i="1" s="1"/>
  <c r="BH219" i="1"/>
  <c r="BI219" i="1" s="1"/>
  <c r="BH218" i="1"/>
  <c r="BI218" i="1" s="1"/>
  <c r="BH217" i="1"/>
  <c r="BI217" i="1" s="1"/>
  <c r="BH216" i="1"/>
  <c r="BI216" i="1" s="1"/>
  <c r="BH215" i="1"/>
  <c r="BI215" i="1" s="1"/>
  <c r="BH214" i="1"/>
  <c r="BI214" i="1" s="1"/>
  <c r="BH213" i="1"/>
  <c r="BI213" i="1" s="1"/>
  <c r="BH212" i="1"/>
  <c r="BI212" i="1" s="1"/>
  <c r="BH211" i="1"/>
  <c r="BI211" i="1" s="1"/>
  <c r="BH210" i="1"/>
  <c r="BI210" i="1" s="1"/>
  <c r="BH209" i="1"/>
  <c r="BI209" i="1" s="1"/>
  <c r="BH208" i="1"/>
  <c r="BI208" i="1" s="1"/>
  <c r="BH207" i="1"/>
  <c r="BI207" i="1" s="1"/>
  <c r="BH206" i="1"/>
  <c r="BI206" i="1" s="1"/>
  <c r="BH205" i="1"/>
  <c r="BI205" i="1" s="1"/>
  <c r="BH204" i="1"/>
  <c r="BI204" i="1" s="1"/>
  <c r="BH203" i="1"/>
  <c r="BI203" i="1" s="1"/>
  <c r="BH202" i="1"/>
  <c r="BI202" i="1" s="1"/>
  <c r="BH201" i="1"/>
  <c r="BI201" i="1" s="1"/>
  <c r="BH200" i="1"/>
  <c r="BI200" i="1" s="1"/>
  <c r="BH199" i="1"/>
  <c r="BI199" i="1" s="1"/>
  <c r="BH198" i="1"/>
  <c r="BI198" i="1" s="1"/>
  <c r="BH197" i="1"/>
  <c r="BI197" i="1" s="1"/>
  <c r="BH196" i="1"/>
  <c r="BI196" i="1" s="1"/>
  <c r="BH195" i="1"/>
  <c r="BI195" i="1" s="1"/>
  <c r="BH194" i="1"/>
  <c r="BI194" i="1" s="1"/>
  <c r="BH193" i="1"/>
  <c r="BI193" i="1" s="1"/>
  <c r="BH192" i="1"/>
  <c r="BI192" i="1" s="1"/>
  <c r="BH191" i="1"/>
  <c r="BH190" i="1"/>
  <c r="BH189" i="1"/>
  <c r="BI188" i="1"/>
  <c r="BH188" i="1"/>
  <c r="BI187" i="1"/>
  <c r="BH187" i="1"/>
  <c r="BI186" i="1"/>
  <c r="BH186" i="1"/>
  <c r="BH185" i="1"/>
  <c r="BI185" i="1" s="1"/>
  <c r="BI184" i="1"/>
  <c r="BH184" i="1"/>
  <c r="BI183" i="1"/>
  <c r="BH183" i="1"/>
  <c r="BI182" i="1"/>
  <c r="BH182" i="1"/>
  <c r="BH181" i="1"/>
  <c r="BI181" i="1" s="1"/>
  <c r="BI180" i="1"/>
  <c r="BH180" i="1"/>
  <c r="BI179" i="1"/>
  <c r="BH179" i="1"/>
  <c r="BI178" i="1"/>
  <c r="BH178" i="1"/>
  <c r="BH177" i="1"/>
  <c r="BI177" i="1" s="1"/>
  <c r="BI176" i="1"/>
  <c r="BH176" i="1"/>
  <c r="BI175" i="1"/>
  <c r="BH175" i="1"/>
  <c r="BI174" i="1"/>
  <c r="BH174" i="1"/>
  <c r="BH173" i="1"/>
  <c r="BI173" i="1" s="1"/>
  <c r="BI172" i="1"/>
  <c r="BH172" i="1"/>
  <c r="BI171" i="1"/>
  <c r="BH171" i="1"/>
  <c r="BI170" i="1"/>
  <c r="BH170" i="1"/>
  <c r="BH169" i="1"/>
  <c r="BI169" i="1" s="1"/>
  <c r="BI168" i="1"/>
  <c r="BH168" i="1"/>
  <c r="BI167" i="1"/>
  <c r="BH167" i="1"/>
  <c r="BI166" i="1"/>
  <c r="BH166" i="1"/>
  <c r="BH165" i="1"/>
  <c r="BI165" i="1" s="1"/>
  <c r="BI164" i="1"/>
  <c r="BH164" i="1"/>
  <c r="BI163" i="1"/>
  <c r="BH163" i="1"/>
  <c r="BI162" i="1"/>
  <c r="BH162" i="1"/>
  <c r="BH161" i="1"/>
  <c r="BI161" i="1" s="1"/>
  <c r="BI160" i="1"/>
  <c r="BH160" i="1"/>
  <c r="BI159" i="1"/>
  <c r="BH159" i="1"/>
  <c r="BI158" i="1"/>
  <c r="BH158" i="1"/>
  <c r="BH157" i="1"/>
  <c r="BI157" i="1" s="1"/>
  <c r="BI156" i="1"/>
  <c r="BH156" i="1"/>
  <c r="BI155" i="1"/>
  <c r="BH155" i="1"/>
  <c r="BI154" i="1"/>
  <c r="BH154" i="1"/>
  <c r="BH153" i="1"/>
  <c r="BI153" i="1" s="1"/>
  <c r="BI152" i="1"/>
  <c r="BH152" i="1"/>
  <c r="BI151" i="1"/>
  <c r="BH151" i="1"/>
  <c r="BI150" i="1"/>
  <c r="BH150" i="1"/>
  <c r="BH149" i="1"/>
  <c r="BI149" i="1" s="1"/>
  <c r="BI148" i="1"/>
  <c r="BH148" i="1"/>
  <c r="BI147" i="1"/>
  <c r="BH147" i="1"/>
  <c r="BI146" i="1"/>
  <c r="BH146" i="1"/>
  <c r="BH145" i="1"/>
  <c r="BI145" i="1" s="1"/>
  <c r="BI144" i="1"/>
  <c r="BH144" i="1"/>
  <c r="BI143" i="1"/>
  <c r="BH143" i="1"/>
  <c r="BI142" i="1"/>
  <c r="BH142" i="1"/>
  <c r="BH141" i="1"/>
  <c r="BI141" i="1" s="1"/>
  <c r="BI140" i="1"/>
  <c r="BH140" i="1"/>
  <c r="BI139" i="1"/>
  <c r="BH139" i="1"/>
  <c r="BI138" i="1"/>
  <c r="BH138" i="1"/>
  <c r="BH137" i="1"/>
  <c r="BI137" i="1" s="1"/>
  <c r="BI136" i="1"/>
  <c r="BH136" i="1"/>
  <c r="BI135" i="1"/>
  <c r="BH135" i="1"/>
  <c r="BI134" i="1"/>
  <c r="BH134" i="1"/>
  <c r="BH133" i="1"/>
  <c r="BI133" i="1" s="1"/>
  <c r="BI132" i="1"/>
  <c r="BH132" i="1"/>
  <c r="BI131" i="1"/>
  <c r="BH131" i="1"/>
  <c r="BI130" i="1"/>
  <c r="BH130" i="1"/>
  <c r="BH129" i="1"/>
  <c r="BI129" i="1" s="1"/>
  <c r="BI128" i="1"/>
  <c r="BH128" i="1"/>
  <c r="BI127" i="1"/>
  <c r="BH127" i="1"/>
  <c r="BI126" i="1"/>
  <c r="BH126" i="1"/>
  <c r="BH125" i="1"/>
  <c r="BI125" i="1" s="1"/>
  <c r="BI124" i="1"/>
  <c r="BH124" i="1"/>
  <c r="BI123" i="1"/>
  <c r="BH123" i="1"/>
  <c r="BI122" i="1"/>
  <c r="BH122" i="1"/>
  <c r="BH121" i="1"/>
  <c r="BI121" i="1" s="1"/>
  <c r="BI120" i="1"/>
  <c r="BH120" i="1"/>
  <c r="BI119" i="1"/>
  <c r="BH119" i="1"/>
  <c r="BI118" i="1"/>
  <c r="BH118" i="1"/>
  <c r="BH117" i="1"/>
  <c r="BI117" i="1" s="1"/>
  <c r="BI116" i="1"/>
  <c r="BH116" i="1"/>
  <c r="BI115" i="1"/>
  <c r="BH115" i="1"/>
  <c r="BI114" i="1"/>
  <c r="BH114" i="1"/>
  <c r="BH113" i="1"/>
  <c r="BI113" i="1" s="1"/>
  <c r="BI112" i="1"/>
  <c r="BH112" i="1"/>
  <c r="BI111" i="1"/>
  <c r="BH111" i="1"/>
  <c r="BI110" i="1"/>
  <c r="BH110" i="1"/>
  <c r="BH109" i="1"/>
  <c r="BI109" i="1" s="1"/>
  <c r="BI108" i="1"/>
  <c r="BH108" i="1"/>
  <c r="BI107" i="1"/>
  <c r="BH107" i="1"/>
  <c r="BI106" i="1"/>
  <c r="BH106" i="1"/>
  <c r="BH105" i="1"/>
  <c r="BI105" i="1" s="1"/>
  <c r="BI104" i="1"/>
  <c r="BH104" i="1"/>
  <c r="BI103" i="1"/>
  <c r="BH103" i="1"/>
  <c r="BI102" i="1"/>
  <c r="BH102" i="1"/>
  <c r="BH101" i="1"/>
  <c r="BI101" i="1" s="1"/>
  <c r="BI100" i="1"/>
  <c r="BH100" i="1"/>
  <c r="BI99" i="1"/>
  <c r="BH99" i="1"/>
  <c r="BI98" i="1"/>
  <c r="BH98" i="1"/>
  <c r="BH97" i="1"/>
  <c r="BI97" i="1" s="1"/>
  <c r="BI96" i="1"/>
  <c r="BH96" i="1"/>
  <c r="BI95" i="1"/>
  <c r="BH95" i="1"/>
  <c r="BI94" i="1"/>
  <c r="BH94" i="1"/>
  <c r="BH93" i="1"/>
  <c r="BI93" i="1" s="1"/>
  <c r="BI92" i="1"/>
  <c r="BH92" i="1"/>
  <c r="BI91" i="1"/>
  <c r="BH91" i="1"/>
  <c r="BI90" i="1"/>
  <c r="BH90" i="1"/>
  <c r="BH89" i="1"/>
  <c r="BI89" i="1" s="1"/>
  <c r="BI88" i="1"/>
  <c r="BH88" i="1"/>
  <c r="BI87" i="1"/>
  <c r="BH87" i="1"/>
  <c r="BI86" i="1"/>
  <c r="BH86" i="1"/>
  <c r="BH85" i="1"/>
  <c r="BI85" i="1" s="1"/>
  <c r="BI84" i="1"/>
  <c r="BH84" i="1"/>
  <c r="BI83" i="1"/>
  <c r="BH83" i="1"/>
  <c r="BI82" i="1"/>
  <c r="BH82" i="1"/>
  <c r="BH81" i="1"/>
  <c r="BI81" i="1" s="1"/>
  <c r="BI80" i="1"/>
  <c r="BH80" i="1"/>
  <c r="BI79" i="1"/>
  <c r="BH79" i="1"/>
  <c r="BI78" i="1"/>
  <c r="BH78" i="1"/>
  <c r="BH77" i="1"/>
  <c r="BI77" i="1" s="1"/>
  <c r="BI76" i="1"/>
  <c r="BH76" i="1"/>
  <c r="BI75" i="1"/>
  <c r="BH75" i="1"/>
  <c r="BI74" i="1"/>
  <c r="BH74" i="1"/>
  <c r="BH73" i="1"/>
  <c r="BI73" i="1" s="1"/>
  <c r="BI72" i="1"/>
  <c r="BH72" i="1"/>
  <c r="BI71" i="1"/>
  <c r="BH71" i="1"/>
  <c r="BI70" i="1"/>
  <c r="BH70" i="1"/>
  <c r="BH69" i="1"/>
  <c r="BI69" i="1" s="1"/>
  <c r="BI68" i="1"/>
  <c r="BH68" i="1"/>
  <c r="BI67" i="1"/>
  <c r="BH67" i="1"/>
  <c r="BI66" i="1"/>
  <c r="BH66" i="1"/>
  <c r="BH65" i="1"/>
  <c r="BI65" i="1" s="1"/>
  <c r="BI64" i="1"/>
  <c r="BH64" i="1"/>
  <c r="BI63" i="1"/>
  <c r="BH63" i="1"/>
  <c r="BI62" i="1"/>
  <c r="BH62" i="1"/>
  <c r="BH61" i="1"/>
  <c r="BI61" i="1" s="1"/>
  <c r="BI60" i="1"/>
  <c r="BH60" i="1"/>
  <c r="BI59" i="1"/>
  <c r="BH59" i="1"/>
  <c r="BI58" i="1"/>
  <c r="BH58" i="1"/>
  <c r="BH57" i="1"/>
  <c r="BI57" i="1" s="1"/>
  <c r="BI56" i="1"/>
  <c r="BH56" i="1"/>
  <c r="BI55" i="1"/>
  <c r="BH55" i="1"/>
  <c r="BI54" i="1"/>
  <c r="BH54" i="1"/>
  <c r="BH53" i="1"/>
  <c r="BI53" i="1" s="1"/>
  <c r="BI52" i="1"/>
  <c r="BH52" i="1"/>
  <c r="BI51" i="1"/>
  <c r="BH51" i="1"/>
  <c r="BI50" i="1"/>
  <c r="BH50" i="1"/>
  <c r="BH49" i="1"/>
  <c r="BI49" i="1" s="1"/>
  <c r="BI48" i="1"/>
  <c r="BH48" i="1"/>
  <c r="BI47" i="1"/>
  <c r="BH47" i="1"/>
  <c r="BI46" i="1"/>
  <c r="BH46" i="1"/>
  <c r="BH45" i="1"/>
  <c r="BI45" i="1" s="1"/>
  <c r="BI44" i="1"/>
  <c r="BH44" i="1"/>
  <c r="BI43" i="1"/>
  <c r="BH43" i="1"/>
  <c r="BI42" i="1"/>
  <c r="BH42" i="1"/>
  <c r="BH41" i="1"/>
  <c r="BI41" i="1" s="1"/>
  <c r="BI40" i="1"/>
  <c r="BH40" i="1"/>
  <c r="BI39" i="1"/>
  <c r="BH39" i="1"/>
  <c r="BI38" i="1"/>
  <c r="BH38" i="1"/>
  <c r="BH37" i="1"/>
  <c r="BI37" i="1" s="1"/>
  <c r="BI36" i="1"/>
  <c r="BH36" i="1"/>
  <c r="BI35" i="1"/>
  <c r="BH35" i="1"/>
  <c r="BI34" i="1"/>
  <c r="BH34" i="1"/>
  <c r="BH33" i="1"/>
  <c r="BI33" i="1" s="1"/>
  <c r="BI32" i="1"/>
  <c r="BH32" i="1"/>
  <c r="BI31" i="1"/>
  <c r="BH31" i="1"/>
  <c r="BI30" i="1"/>
  <c r="BH30" i="1"/>
  <c r="BH29" i="1"/>
  <c r="BI29" i="1" s="1"/>
  <c r="BI28" i="1"/>
  <c r="BH28" i="1"/>
  <c r="BI27" i="1"/>
  <c r="BH27" i="1"/>
  <c r="BI26" i="1"/>
  <c r="BH26" i="1"/>
  <c r="BH25" i="1"/>
  <c r="BI25" i="1" s="1"/>
  <c r="BI24" i="1"/>
  <c r="BH24" i="1"/>
  <c r="BI23" i="1"/>
  <c r="BH23" i="1"/>
  <c r="BI22" i="1"/>
  <c r="BH22" i="1"/>
  <c r="BH21" i="1"/>
  <c r="BI21" i="1" s="1"/>
  <c r="BI20" i="1"/>
  <c r="BH20" i="1"/>
  <c r="BI19" i="1"/>
  <c r="BH19" i="1"/>
  <c r="BI18" i="1"/>
  <c r="BH18" i="1"/>
  <c r="BH17" i="1"/>
  <c r="BI17" i="1" s="1"/>
  <c r="BI16" i="1"/>
  <c r="BH16" i="1"/>
  <c r="BI15" i="1"/>
  <c r="BH15" i="1"/>
  <c r="BI14" i="1"/>
  <c r="BH14" i="1"/>
  <c r="BH13" i="1"/>
  <c r="BI13" i="1" s="1"/>
  <c r="BI12" i="1"/>
  <c r="BH12" i="1"/>
  <c r="BI11" i="1"/>
  <c r="BH11" i="1"/>
  <c r="BI10" i="1"/>
  <c r="BH10" i="1"/>
  <c r="BH9" i="1"/>
  <c r="BI9" i="1" s="1"/>
  <c r="BI8" i="1"/>
  <c r="BH8" i="1"/>
  <c r="BI7" i="1"/>
  <c r="BH7" i="1"/>
  <c r="BI6" i="1"/>
  <c r="BH6" i="1"/>
  <c r="BH304" i="1" s="1"/>
  <c r="BI304" i="1" l="1"/>
</calcChain>
</file>

<file path=xl/sharedStrings.xml><?xml version="1.0" encoding="utf-8"?>
<sst xmlns="http://schemas.openxmlformats.org/spreadsheetml/2006/main" count="1556" uniqueCount="969">
  <si>
    <t>Отбор:</t>
  </si>
  <si>
    <t>Categoria Равно "INSTRUMENTAR"</t>
  </si>
  <si>
    <t>Nr Lot</t>
  </si>
  <si>
    <t>Loturi bunuri licitate</t>
  </si>
  <si>
    <t>Loturi bunuri licitate modificat</t>
  </si>
  <si>
    <t>Loturi bunuri licitate, Specificarea tehnică deplină solicitată de către autoritatea contractantă, UM</t>
  </si>
  <si>
    <t xml:space="preserve">Loturi bunuri licitate, Specificarea tehnică deplină solicitată de către autoritatea contractantă, UM modificat </t>
  </si>
  <si>
    <t>Unitatea de măsură</t>
  </si>
  <si>
    <t>ADMINISTRATIA NATIONALA A PENITENCIARELOR (0004)</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</si>
  <si>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</si>
  <si>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</si>
  <si>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</si>
  <si>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</si>
  <si>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</si>
  <si>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CIORESCU (0214)</t>
  </si>
  <si>
    <t>IMSP CENTRUL DE SANATATE COSTESTI IALOVENI (0234)</t>
  </si>
  <si>
    <t>IMSP CENTRUL DE SANATATE DROCHIA A MANZIUC (0251)</t>
  </si>
  <si>
    <t>IMSP CENTRUL DE SANATATE DURLESTI (0254)</t>
  </si>
  <si>
    <t>IMSP CENTRUL DE SANATATE FUNDURII VECHI (0262)</t>
  </si>
  <si>
    <t>IMSP CENTRUL DE SANATATE HARBOVAT (0277)</t>
  </si>
  <si>
    <t>IMSP CENTRUL DE SANATATE HORESTI (0279)</t>
  </si>
  <si>
    <t>IMSP CENTRUL DE SANATATE ORHEI NR 1 (0321)</t>
  </si>
  <si>
    <t>IMSP CENTRUL DE SANATATE STURZOVCA (0372)</t>
  </si>
  <si>
    <t>IMSP CENTRUL MEDICILOR DE FAMILIE MUNICIPAL BALTI (0415)</t>
  </si>
  <si>
    <t>IMSP INSTITUTUL DE CARDIOLOGIE (0425)</t>
  </si>
  <si>
    <t>IMSP INSTITUTUL DE MEDICINA URGENTA (0426)</t>
  </si>
  <si>
    <t>IMSP INSTITUTUL DE PNEUMOLOGIE CHIRIL DRAGANIUC (0428)</t>
  </si>
  <si>
    <t>IMSP INSTITUTUL ONCOLOGIC (0430)</t>
  </si>
  <si>
    <t>IMSP POLICLINICA DE STAT (0432)</t>
  </si>
  <si>
    <t>IMSP POLICLINICA STOMATOLOGICA REPUBLICANA (0433)</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</si>
  <si>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</si>
  <si>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</si>
  <si>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</si>
  <si>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</si>
  <si>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</si>
  <si>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</si>
  <si>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</si>
  <si>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ANENII NOI (0453)</t>
  </si>
  <si>
    <t>IMSP SPITALUL RAIONAL BRICENI (0455)</t>
  </si>
  <si>
    <t>IMSP SPITALUL RAIONAL CAHUL (0456)</t>
  </si>
  <si>
    <t>IMSP SPITALUL RAIONAL CALARASI (0457)</t>
  </si>
  <si>
    <t>IMSP SPITALUL RAIONAL CANTEMIR (0458)</t>
  </si>
  <si>
    <t>IMSP SPITALUL RAIONAL CAUSENI ANA SI ALEXANDRU (0459)</t>
  </si>
  <si>
    <t>IMSP SPITALUL RAIONAL CIMISLIA (0461)</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</si>
  <si>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</si>
  <si>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</si>
  <si>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</si>
  <si>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</si>
  <si>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</si>
  <si>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</si>
  <si>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LEOVA (0472)</t>
  </si>
  <si>
    <t>IMSP SPITALUL RAIONAL RASCANI (0476)</t>
  </si>
  <si>
    <t>IMSP SPITALUL RAIONAL REZINA (0477)</t>
  </si>
  <si>
    <t>IMSP SPITALUL RAIONAL SANGEREI (0478)</t>
  </si>
  <si>
    <t>IMSP SPITALUL RAIONAL SOLDANESTI (0479)</t>
  </si>
  <si>
    <t>IMSP SPITALUL RAIONAL SOROCA A PRISACARI (0480)</t>
  </si>
  <si>
    <t>IMSP SPITALUL RAIONAL TELENESTI (0484)</t>
  </si>
  <si>
    <t>IMSP SPITALUL RAIONAL UNGHENI (0485)</t>
  </si>
  <si>
    <t>SERVICIUL MEDICAL AL MINISTERULUI AFACERILOR INTERNE (0570)</t>
  </si>
  <si>
    <t>SPITALUL CLINIC MILITAR CENTRAL (0576)</t>
  </si>
  <si>
    <t>IMSP   CS  IGNATEI</t>
  </si>
  <si>
    <t>Итого</t>
  </si>
  <si>
    <t>Suma estimată cu TVA</t>
  </si>
  <si>
    <t>INSTRUMENTAR</t>
  </si>
  <si>
    <t>Instrument pentru chirugia toracică Aplicator de noduri pentru MIDCAB ”KnotPusher” ( 007636 )</t>
  </si>
  <si>
    <t>Instrument pentru chirugia toracică Aplicator de noduri pentru MIDCAB ”KnotPusher” ( 007636 ), Aplicartor de noduri angular 25-45 grade pentru MIDCAB tip Knot Pusher fără clichet. Lungimea instrumentului 300-360mm. Diametrul de 5mm pe tot parcursul Instrumentului. Mânerul rotund antiderapant. (Echivalent codului de referinta: FC492R Aesculap, DC80300-30 Delacroix, MRB-6 Fehling, 38-7850L Geister)., Bucată</t>
  </si>
  <si>
    <t>Instrument pentru chirugia toracică. Aplicartor de noduri angular 25-45 grade pentru MIDCAB tip Knot Pusher fără clichet. Lungimea instrumentului 300-360mm. Diametrul de 5mm pe tot parcursul Instrumentului. Mânerul rotund antiderapant. (Echivalent codului de referinta: FC492R Aesculap, DC80300-30 Delacroix, MRB-6 Fehling, 38-7850L Geister).</t>
  </si>
  <si>
    <t>Bucată</t>
  </si>
  <si>
    <t>Instrument pentru chirugia toracică Aspirator toracoscopic ( 007637 )</t>
  </si>
  <si>
    <t>Instrument pentru chirugia toracică Aspirator toracoscopic ( 007637 ), Aspirator toracoscopic/laparoscopic drept, monopolar accesibil prin troacar de 5mm. Lungimea Instrumentului 330mm (+/-10mm). Reutilizabil. (Echivalent codului de referinta: 8383.73 R. Wolf)., Bucată</t>
  </si>
  <si>
    <t>Instrument pentru chirugia toracică. Aspirator toracoscopic/laparoscopic drept, monopolar accesibil prin troacar de 5mm. Lungimea Instrumentului 330mm (+/-10mm). Reutilizabil. (Echivalent codului de referinta: 8383.73 R. Wolf).</t>
  </si>
  <si>
    <t>Instrument pentru chirugia toracică Retractor tip Sauerbruch ( 007612 )</t>
  </si>
  <si>
    <t>Instrument pentru chirugia toracică Retractor tip Sauerbruch ( 007612 ), Retractor tip Sauerbruch, lungime 260 mm (+/-5 mm), lățime 130x38mm, fenestrat. Reutilizabil, material inox medical, nesteril, duritatea metalului în limitele 40-48 HRC confirmată prin certificat de la producător., Bucată</t>
  </si>
  <si>
    <t>Instrument pentru chirugia toracică. Retractor tip Sauerbruch, lungime 260 mm (+/-5 mm), lățime 130x38mm, fenestrat. Reutilizabil, material inox medical, nesteril, duritatea metalului în limitele 40-48 HRC confirmată prin certificat de la producător.</t>
  </si>
  <si>
    <t>Instrument pentru chirugia toracică Retractor toracic Finochietto-Infant/Weinberg ( 007786 )</t>
  </si>
  <si>
    <t>Instrument pentru chirugia toracică Retractor toracic Finochietto-Infant/Weinberg ( 007786 ), Retractor toracic Finochietto-Infant/Weinberg, cu dimensiunile: adâncimea 12mm, lațimea 15mm,  desfacerea la 70 mm, lungimea 55 mm (Asemanator codului de referinta Geister 29-0100), Bucată</t>
  </si>
  <si>
    <t>Instrument pentru chirugia toracică. Retractor toracic Finochietto-Infant/Weinberg, cu dimensiunile: adâncimea 12mm, lațimea 15mm,  desfacerea la 70 mm, lungimea 55 mm (Asemanator codului de referinta Geister 29-0100).</t>
  </si>
  <si>
    <t>Instrument pentru chirurgie oftalmologică Chopper Rosen (Oftalmologie) ( 007818 )</t>
  </si>
  <si>
    <t>Instrument pentru chirurgie oftalmologică Chopper Rosen (Oftalmologie) ( 007818 ), Chopper nucleu cu taiere retrograda Rosen, angulat la 45 grade, in forma de pana, proiectie 1.25 mm, titan, Bucată</t>
  </si>
  <si>
    <t xml:space="preserve">Instrument pentru chirurgie oftalmologică. Chopper nucleu cu taiere retrograda Rosen, angulat la 45 grade, in forma de pana, proiectie 1.25 mm, titan. </t>
  </si>
  <si>
    <t>Instrument pentru chirurgie oftalmologică Cuțit LRI ( 007826 )</t>
  </si>
  <si>
    <t>Instrument pentru chirurgie oftalmologică Cuțit LRI ( 007826 ), Cuțit oftalmologic pentru incizii de relaxare corneene cu tăiș dublu pe ambele părți, satinat, drept, profunzimea inciziei 550 µm (0,55 mm), suprafața anterioară mată antiblic. Material - otel inoxidabil. Lungimea mânerului 118 mm ± 5 mm (culoare alb-gri)., Bucată</t>
  </si>
  <si>
    <t>Instrument pentru chirurgie oftalmologică Cuțit LRI,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</si>
  <si>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Foarfecă (virf) pentru iridectomie Zaldivar cu miner inclus ( 007689 )</t>
  </si>
  <si>
    <t>Instrument pentru chirurgie oftalmologică Foarfecă (virf) pentru iridectomie Zaldivar cu miner inclus ( 007689 ), Foarfece (virf) pentru iridectomie Zaldivar, lama curba, 23 G. Miner vitreoretinal cu doua clape, lungimea totala 90 mm. Material inoxidabil medical , nesteril, obligatoriu ambalaj individual cu sigiliu pentru prima deschidere., Bucată</t>
  </si>
  <si>
    <t>Instrument pentru chirurgie oftalmologică. Foarfece (virf) pentru iridectomie Zaldivar, lama curba, 23 G. Miner vitreoretinal cu doua clape, lungimea totala 90 mm. Material inoxidabil medical , nesteril, obligatoriu ambalaj individual cu sigiliu pentru prima deschidere.</t>
  </si>
  <si>
    <t>Instrument pentru chirurgie oftalmologică Foarfecă capsulotomie Gills-Vannas ascutite ( 007692 )</t>
  </si>
  <si>
    <t>Instrument pentru chirurgie oftalmologică Foarfecă capsulotomie Gills-Vannas ascutite ( 007692 ), Foarfece pentru capsulotomie Gills-Vannas curbe lama 10mm, ascutite, miner plat, lungimea totala 88mm ±5mm .
 Material inox medical, nesteril, reutilizabil placat cu crom 0,2 mm,obligatoriu ambalaj individual cu sigiliu pentru prima deschidere., Bucată</t>
  </si>
  <si>
    <t>Instrument pentru chirurgie oftalmologică. Foarfece pentru capsulotomie Gills-Vannas curbe lama 10mm, ascutite, miner plat, lungimea totala 88mm ±5mm .
Material inox medical, nesteril, reutilizabil placat cu crom 0,2 mm,obligatoriu ambalaj individual cu sigiliu pentru prima deschidere.</t>
  </si>
  <si>
    <t>Instrument pentru chirurgie oftalmologică Foarfecă capsulotomie Gills-Vannas bonte ( 007693 )</t>
  </si>
  <si>
    <t>Instrument pentru chirurgie oftalmologică Foarfecă capsulotomie Gills-Vannas bonte ( 007693 ), Foarfece pentru capsulotomie Gills-Vannas curbe lama 10mm, bonte, miner plat, lungimea totala 88mm ±5mm.
Material inox medical, nesteril, reutilizabil, placat cu crom cu grosimea minim 0,2mm, obligatoriu ambalaj individual cu sigiliu pentru prima deschidere., Bucată</t>
  </si>
  <si>
    <t>Instrument pentru chirurgie oftalmologică. Foarfece pentru capsulotomie Gills-Vannas curbe lama 10mm, bonte, miner plat, lungimea totala 88mm ±5mm.
Material inox medical, nesteril, reutilizabil, placat cu crom cu grosimea minim 0,2mm, obligatoriu ambalaj individual cu sigiliu pentru prima deschidere.</t>
  </si>
  <si>
    <t>Instrument pentru chirurgie oftalmologică Foarfecă capsulotomie incizie 2mm ( 007694 )</t>
  </si>
  <si>
    <t>Instrument pentru chirurgie oftalmologică Foarfecă capsulotomie incizie 2mm ( 007694 ), Foarfece pentru capsulotomie prin incizie de 2mm. Lamele ultrasubtiri, lungimea 14mm, lungimea totala 92 mm ±5mm.
Material inox medical, nesteril, reutilizabil, placat cu crom cu grosimea minim 0,2mm, obligatoriu ambalaj individual cu sigiliu pentru prima deschidere., Bucată</t>
  </si>
  <si>
    <t>Instrument pentru chirurgie oftalmologică. Foarfece pentru capsulotomie prin incizie de 2mm. Lamele ultrasubtiri, lungimea 14mm, lungimea totala 92 mm ±5mm.
Material inox medical, nesteril, reutilizabil, placat cu crom cu grosimea minim 0,2mm, obligatoriu ambalaj individual cu sigiliu pentru prima deschidere.</t>
  </si>
  <si>
    <t>Instrument pentru chirurgie oftalmologică Foarfecă înlăturare lentile foldabile tip Osher ( 007860 )</t>
  </si>
  <si>
    <t>Instrument pentru chirurgie oftalmologică Foarfecă înlăturare lentile foldabile tip Osher ( 007860 ), Foarfece pentru îndepărtarea lentilei intraoculare (IOL) după Osher, Lama angulată, lungime de 8 ±1 mm. Lungime Totală: 94 ±5 mm. Material: titan, Bucată</t>
  </si>
  <si>
    <t>Instrument pentru chirurgie oftalmologică. Foarfece pentru îndepărtarea lentilei intraoculare (IOL) după Osher, Lama angulată, lungime de 8 ±1 mm. Lungime Totală: 94 ±5 mm. Material: titan.</t>
  </si>
  <si>
    <t>Instrument pentru chirurgie oftalmologică Foarfecă Oftalmice Iris-Fine 105 mm, ascutit, curb ( 007867 )</t>
  </si>
  <si>
    <t>Instrument pentru chirurgie oftalmologică Foarfecă Oftalmice Iris-Fine 105 mm, ascutit, curb ( 007867 ), Foarfece Oftalmice Iris-Fine 105 mm  (+/- 5 mm) ascutit, curb, plat (Ref. J-22-210), Bucată</t>
  </si>
  <si>
    <t>Instrument pentru chirurgie oftalmologică. Foarfece Oftalmice Iris-Fine 105 mm  (+/- 5 mm) ascutit, curb, plat (Ref. J-22-210).</t>
  </si>
  <si>
    <t>Instrument pentru chirurgie oftalmologică Foarfecă Oftalmice Iris-Fine 115 mm, ascutit, drept, plat ( 007869 )</t>
  </si>
  <si>
    <t>Instrument pentru chirurgie oftalmologică Foarfecă Oftalmice Iris-Fine 115 mm, ascutit, drept, plat ( 007869 ), Foarfece Oftalmice Iris-Fine 115 mm  (+/- 5 mm), ascutit, drept, plat (Ref.: J-22-211), Bucată</t>
  </si>
  <si>
    <t>Instrument pentru chirurgie oftalmologică. Foarfece Oftalmice Iris-Fine 115 mm  (+/- 5 mm), ascutit, drept, plat (Ref.: J-22-211).</t>
  </si>
  <si>
    <t>Instrument pentru chirurgie oftalmologică Foarfecă pentru enucleatia globului ocular (Oftalmologie) ( 007870 )</t>
  </si>
  <si>
    <t>Instrument pentru chirurgie oftalmologică Foarfecă pentru enucleatia globului ocular (Oftalmologie) ( 007870 ), Curbe, cu capetele rotunjite, 44 mm partea lucrativa, lungimea totala 130 mm  (+/- 10 mm), Bucată</t>
  </si>
  <si>
    <t>Instrument pentru chirurgie oftalmologică Foarfecă pentru enucleatia globului ocular (Oftalmologie). Curbe, cu capetele rotunjite, 44 mm partea lucrativa, lungimea totala 130 mm  (+/- 10 mm).</t>
  </si>
  <si>
    <t>Instrument pentru chirurgie oftalmologică Injector pentru cristaline artificiale Royale (D) ( 007706 )</t>
  </si>
  <si>
    <t>Instrument pentru chirurgie oftalmologică Injector pentru cristaline artificiale Royale (D) ( 007706 ), Injector pentru cristaline artificiale tip Royale . Mecanism cu piston, pentru cartușele D, cu inel.
Reutilizabil, material de titan. Obligatoriu ambalaj individual cu sigiliu pentru prima deschidere., Bucată</t>
  </si>
  <si>
    <t>Instrument pentru chirurgie oftalmologică. Injector pentru cristaline artificiale tip Royale . Mecanism cu piston, pentru cartușele D, cu inel.
Reutilizabil, material de titan. Obligatoriu ambalaj individual cu sigiliu pentru prima deschidere.</t>
  </si>
  <si>
    <t>Instrument pentru chirurgie oftalmologică Injector pentru cristaline artificiale tip Royale (B și C) ( 007707 )</t>
  </si>
  <si>
    <t>Instrument pentru chirurgie oftalmologică Injector pentru cristaline artificiale tip Royale (B și C) ( 007707 ), Injector pentru cristaline artificiale tip Royale . Mecanism cu piston, pentru cartușele B și C, cu inel.
Reutilizabil, material de titan. Obligatoriu ambalaj individual cu sigiliu pentru prima deschidere., Bucată</t>
  </si>
  <si>
    <t>Instrument pentru chirurgie oftalmologică. Injector pentru cristaline artificiale tip Royale . Mecanism cu piston, pentru cartușele B și C, cu inel.
Reutilizabil, material de titan. Obligatoriu ambalaj individual cu sigiliu pentru prima deschidere.</t>
  </si>
  <si>
    <t>Instrument pentru chirurgie oftalmologică Injector pentru implantarea lentilelor intraoculare cu o singura mâna  (Oftalmologie) ( 007883 )</t>
  </si>
  <si>
    <t>Instrument pentru chirurgie oftalmologică Injector pentru implantarea lentilelor intraoculare cu o singura mâna  (Oftalmologie) ( 007883 ), Sistem de implantare din titan, de multipla folosinta, autoclavabil, cu mecanism tip piston, cu arc interior pentru implantare usoara, precisa si eficienta cu o singura mina compatibil cu cartuse tip A, B, C, D., Bucată</t>
  </si>
  <si>
    <t>Instrument pentru chirurgie oftalmologică. Injector pentru implantarea lentilelor intraoculare cu o singura mâna  (Oftalmologie). Sistem de implantare din titan, de multipla folosinta, autoclavabil, cu mecanism tip piston, cu arc interior pentru implantare usoara, precisa si eficienta cu o singura mina compatibil cu cartuse tip A, B, C, D.</t>
  </si>
  <si>
    <t>Instrument pentru chirurgie oftalmologică Lingură evisceratie ( 007710 )</t>
  </si>
  <si>
    <t>Instrument pentru chirurgie oftalmologică Lingură evisceratie ( 007710 ), Bunge evisceration spoon, diametrul 13 mm, lungimea totala 140 mm (+-10mm).
Material inox medical, nesteril, reutilizabil, obligatoriu ambalaj individual cu sigiliu pentru prima deschidere., Bucată</t>
  </si>
  <si>
    <t>Instrument pentru chirurgie oftalmologică. Lingură evisceratie ( Bunge evisceration spoon), diametrul 13 mm, lungimea totala 140 mm (+-10mm).
Material inox medical, nesteril, reutilizabil, obligatoriu ambalaj individual cu sigiliu pentru prima deschidere.</t>
  </si>
  <si>
    <t>Instrument pentru chirurgie oftalmologică Manipulator lentile intraoculare pentru chirurgia globului ocular  (Oftalmologie) ( 007888 )</t>
  </si>
  <si>
    <t>Instrument pentru chirurgie oftalmologică Manipulator lentile intraoculare pentru chirurgia globului ocular  (Oftalmologie) ( 007888 ), Manipulator intracapsular cu buton la capat tip nasture, angulat la  45 grade , partea lucrativa 10 mm, lungime totala 122 mm (+-10mm) ,din titan, Bucată</t>
  </si>
  <si>
    <t>Instrument pentru chirurgie oftalmologică Manipulator lentile intraoculare pentru chirurgia globului ocular  (Oftalmologie). Manipulator intracapsular cu buton la capat tip nasture, angulat la  45 grade , partea lucrativa 10 mm, lungime totala 122 mm (+-10mm) ,din titan.</t>
  </si>
  <si>
    <t>Instrument pentru chirurgie oftalmologică Marker lentile torice ( 007889 )</t>
  </si>
  <si>
    <t>Instrument pentru chirurgie oftalmologică Marker lentile torice ( 007889 ), Inel de măsurare conform Mendez. Gradat de la 0° la 180° la fiecare 10°; diametru interior 12 mm, diametru exterior 19 mm, lungime totală 135 ±5 mm. Cu dinți de fixare atraumatici. Material: titan, Bucată</t>
  </si>
  <si>
    <t>Instrument pentru chirurgie oftalmologică. Marker lentile torice. Inel de măsurare conform Mendez. Gradat de la 0° la 180° la fiecare 10°; diametru interior 12 mm, diametru exterior 19 mm, lungime totală 135 ±5 mm. Cu dinți de fixare atraumatici. Material: titan.</t>
  </si>
  <si>
    <t>Instrument pentru chirurgie oftalmologică Pensă capsulorexis ( 007915 )</t>
  </si>
  <si>
    <t>Instrument pentru chirurgie oftalmologică Pensă capsulorexis ( 007915 ), Pențetă pentru capsulorhexis, pentru incizie de 2,0 mm. Branșe (capete) subțiri curbate de 11 mm. Mâner rotund. Lungime 106 mm ± 5 mm. Material: oțel inoxidabil. Cu lățimea de deschidere reglabilă prin șurub, Bucată</t>
  </si>
  <si>
    <t>Instrument pentru chirurgie oftalmologică. Pențetă pentru capsulorhexis, pentru incizie de 2,0 mm. Branșe (capete) subțiri curbate de 11 mm. Mâner rotund. Lungime 106 mm ± 5 mm. Cu lățimea de deschidere reglabilă prin șurub.</t>
  </si>
  <si>
    <t>Instrument pentru chirurgie oftalmologică Pensa capsulorexis Kershner 23G cu miner inclus ( 007741 )</t>
  </si>
  <si>
    <t>Instrument pentru chirurgie oftalmologică Pensa capsulorexis Kershner 23G cu miner inclus ( 007741 ), Pensa capsulorexis Kershner, varf standart, 23 G. Cu miner vitreoretinal cu doua clape , lungimea 90 mm (+/-5mm). 
Material inoxidabil medical , nesteril, reutilizabil, obligatoriu ambalaj individual cu sigiliu pentru prima deschidere., Bucată</t>
  </si>
  <si>
    <t>Instrument pentru chirurgie oftalmologică. Pensa capsulorexis Kershner, varf standart, 23 G. Cu miner vitreoretinal cu doua clape , lungimea 90 mm (+/-5mm). 
Material inoxidabil medical , nesteril, reutilizabil, obligatoriu ambalaj individual cu sigiliu pentru prima deschidere.</t>
  </si>
  <si>
    <t>Instrument pentru chirurgie oftalmologică Pensa chirurgicala cu platforma. Castroviejo, 1x2 dinti 0.12mm ( 007742 )</t>
  </si>
  <si>
    <t>Instrument pentru chirurgie oftalmologică Pensa chirurgicala cu platforma. Castroviejo, 1x2 dinti 0.12mm ( 007742 ), Pensa chirurgicala cu platforma  1x2 dinti 0.12mm, platforma de legare 5.5 mm, lungimea totala 108 mm (+/-10mm). Material titan, nesteril, reutilizabil, obligatoriu ambalaj individual cu sigiliu pentru prima deschidere., Bucată</t>
  </si>
  <si>
    <t>Instrument pentru chirurgie oftalmologică. Pensa chirurgicala cu platforma  Castroviejo 1x2 dinti 0.12mm, platforma de legare 5.5 mm, lungimea totala 108 mm (+/-10mm).  Material titan, nesteril, reutilizabil, obligatoriu ambalaj individual cu sigiliu pentru prima deschidere.</t>
  </si>
  <si>
    <t>Instrument pentru chirurgie oftalmologică Pensa chirurgicala cu platforma. Castroviejo, 1x2 dinti 0.3mm ( 007743 )</t>
  </si>
  <si>
    <t>Instrument pentru chirurgie oftalmologică Pensa chirurgicala cu platforma. Castroviejo, 1x2 dinti 0.3mm ( 007743 ), Pensa chirurgicala cu platforma  1x2 dinti 0.3mm, platforma de legare 6 mm, lungimea totala 109 mm (+/-10mm). Material titan, nesteril, reutilizabil, obligatoriu ambalaj individual cu sigiliu pentru prima deschidere., Bucată</t>
  </si>
  <si>
    <t>Instrument pentru chirurgie oftalmologică.Pensa chirurgicala cu platforma Castroviejo 1x2 dinti 0.3mm, platforma de legare 6 mm, lungimea totala 109 mm (+/-10mm). Material titan, nesteril, reutilizabil, obligatoriu ambalaj individual cu sigiliu pentru prima deschidere.</t>
  </si>
  <si>
    <t>Instrument pentru chirurgie oftalmologică Pensă tip Kelman-McPherson ( 007900 )</t>
  </si>
  <si>
    <t>Instrument pentru chirurgie oftalmologică Pensă tip Kelman-McPherson ( 007900 ), Pensă pentru înnodarea suturilor conform Kelman-McPherson, cu platformă de legare de 10mm. Angulat. Lungime 85 mm ± 5 mm. Material: titan, Bucată</t>
  </si>
  <si>
    <t>Instrument pentru chirurgie oftalmologică. Pensă pentru înnodarea suturilor conform Kelman-McPherson, cu platformă de legare de 10mm. Angulat. Lungime 85 mm ± 5 mm. Material: titan.</t>
  </si>
  <si>
    <t>Instrument pentru chirurgie oftalmologică Prechoper ( 007924 )</t>
  </si>
  <si>
    <t>Instrument pentru chirurgie oftalmologică Prechoper ( 007924 ), Prechoper drept combinat, special conceput pentru nucleele moi și dure, vârfuri de lucru atât rotunjite cât și ascuțite, deschidere maximă de 2,8 mm, lungime 120 ±5 mm. Material: oțel inoxidabil, Bucată</t>
  </si>
  <si>
    <t>Instrument pentru chirurgie oftalmologică. Prechoper drept combinat, special conceput pentru nucleele moi și dure, vârfuri de lucru atât rotunjite cât și ascuțite, deschidere maximă de 2,8 mm, lungime 120 ±5 mm. Material: oțel inoxidabil</t>
  </si>
  <si>
    <t>Instrument pentru chirurgie oftalmologică Ridicător de pleoape 14x13mm ( 007934 )</t>
  </si>
  <si>
    <t>Instrument pentru chirurgie oftalmologică Ridicător de pleoape 14x13mm ( 007934 ), Ridicător de pleoape 14x13mm (REF.: В-13,5), Bucată</t>
  </si>
  <si>
    <t>Instrument pentru chirurgie oftalmologică. Ridicător de pleoape 14x13mm (REF.: В-13,5).</t>
  </si>
  <si>
    <t>Instrument pentru chirurgie ORL Cârlig auricular Zaufal cu buton, lung 150 mm ( 007459 )</t>
  </si>
  <si>
    <t>Instrument pentru chirurgie ORL Cârlig auricular Zaufal cu buton, lung 150 mm ( 007459 ), Cirlig auricular tip Zaufal cu buton, lung 150 mm-165mm
*Reutilizabil, material inox medical., Bucată</t>
  </si>
  <si>
    <t>Instrument pentru chirurgie ORL. Cirlig auricular tip Zaufal cu buton, lung 150 mm-165mm. 
*Reutilizabil, material inox medical.</t>
  </si>
  <si>
    <t>Instrument pentru chirurgie ORL Ciocan COTTLE ( 007643 )</t>
  </si>
  <si>
    <t>Instrument pentru chirurgie ORL Ciocan COTTLE ( 007643 ), Ciocan metalic tip COTTLE ,lungimea totala 18 cm (+/-10mm),inox medical,reutilizabil,autoclavabil, Bucată</t>
  </si>
  <si>
    <t>Instrument pentru chirurgie ORL. Ciocan metalic tip COTTLE ,lungimea totala 18 cm (+/-10mm), inox medical,reutilizabil,autoclavabil.</t>
  </si>
  <si>
    <t>Instrument pentru chirurgie ORL Ciupitor de os Dieter auricular ( 007644 )</t>
  </si>
  <si>
    <t>Instrument pentru chirurgie ORL Ciupitor de os Dieter auricular ( 007644 ), Ciupitor de os Dieter, taietor in sus, 8 cm(+/-10mm),lungimea totala,inox medical reutilizabil, Bucată</t>
  </si>
  <si>
    <t>Instrument pentru chirurgie ORL. Ciupitor de os Dieter, taietor in sus, 8 cm(+/-10mm) lungimea totala, inox medical reutilizabil</t>
  </si>
  <si>
    <t>Instrument pentru chirurgie ORL Elevator-decolator septal tip FREER ( 007687 )</t>
  </si>
  <si>
    <t>Instrument pentru chirurgie ORL Elevator-decolator septal tip FREER ( 007687 ), Elevator-decolator septal tip FREER,lungimea totala 190 mm (±10mm),bond la virf ,lungimea de lucru 7,5mm, Bucată</t>
  </si>
  <si>
    <t xml:space="preserve">Instrument pentru chirurgie ORL. Elevator-decolator septal tip FREER,lungimea totala 190 mm (±10mm),bond la virf ,lungimea de lucru 7,5mm. </t>
  </si>
  <si>
    <t>Instrument pentru chirurgie ORL Foarfecă auriculara ( 007690 )</t>
  </si>
  <si>
    <t>Instrument pentru chirurgie ORL Foarfecă auriculara ( 007690 ), Foarfeca auriculara, bransile drepte, ascuțite,lungimea totala 11,5 cm (±10mm),inox medical,reutilizabil, Bucată</t>
  </si>
  <si>
    <t>Instrument pentru chirurgie ORL.  Foarfeca auriculara, bransile drepte, ascuțite,lungimea totala 11,5 cm (±10mm), inox medical,reutilizabil.</t>
  </si>
  <si>
    <t>Instrument pentru chirurgie ORL Foarfecă auriculara Shea-Bellucci ( 007691 )</t>
  </si>
  <si>
    <t>Instrument pentru chirurgie ORL Foarfecă auriculara Shea-Bellucci ( 007691 ), Foarfeca auriculara Shea-Bellucci, dreapta,lungimea de lucru 8 mm,lungimea totala 8 cm (±10mm),inox medical,reutilizabil, Bucată</t>
  </si>
  <si>
    <t>Instrument pentru chirurgie ORL. Foarfeca auriculara Shea-Bellucci, dreapta,lungimea de lucru 8 mm,lungimea totala 8 cm (±10mm), inox medical,reutilizabil.</t>
  </si>
  <si>
    <t>Instrument pentru chirurgie ORL Foarfecă Boettcher p/u  tonzilectomie ( 007488 )</t>
  </si>
  <si>
    <t>Instrument pentru chirurgie ORL Foarfecă Boettcher p/u  tonzilectomie ( 007488 ), Foarfece curbe cu vârfuri bonte, lățime 2,5-3,0mm, 180mm (+/- 5 mm) x40mm. Tip  Boettcher
*Reutilizabil, material inox medical., Bucată</t>
  </si>
  <si>
    <t>Instrument pentru chirurgie ORL. Foarfece p/u  tonzilectomie curbe cu vârfuri bonte, lățime 2,5-3,0mm, 180mm (+/- 5 mm) x40mm. Tip  Boettcher. 
*Reutilizabil, material inox medical.</t>
  </si>
  <si>
    <t>Instrument pentru chirurgie ORL Foarfecă nazală ( 007509 )</t>
  </si>
  <si>
    <t>Instrument pentru chirurgie ORL Foarfecă nazală ( 007509 ), Foarfece nazală, tăiere verticală  dreaptă, cu conector de curățare, lungimea de lucru 13-14 cm. 
*Reutilizabil, material inox medical. (Cod referinta OK560R Aesculap, 449201 Karl Storz), Bucată</t>
  </si>
  <si>
    <t xml:space="preserve">Instrument pentru chirurgie ORL. Foarfece nazală, tăiere verticală  dreaptă, cu conector de curățare, lungimea de lucru 13-14 cm. (Cod referinta OK560R Aesculap, 449201 Karl Storz).
*Reutilizabil, material inox medical. </t>
  </si>
  <si>
    <t>Instrument pentru chirurgie ORL Foarfecă nazala FOMON sub 45° ( 007701 )</t>
  </si>
  <si>
    <t>Instrument pentru chirurgie ORL Foarfecă nazala FOMON sub 45° ( 007701 ), Foarfece nazale sub 45°FOMON, lungimea 130mm (+/- 10 mm) x lungimea de lucru 50mm.
*Reutilizabil, material inox medical,nesteril ,autoclavabil, Bucată</t>
  </si>
  <si>
    <t>Instrument pentru chirurgie ORL. Foarfece nazale sub 45°FOMON, lungimea 130mm (+/- 10 mm) x lungimea de lucru 50mm.
*Reutilizabil, material inox medical,nesteril ,autoclavabil.</t>
  </si>
  <si>
    <t>Instrument pentru chirurgie ORL Foarfecă nazale Iris sub 45° ( 007510 )</t>
  </si>
  <si>
    <t>Instrument pentru chirurgie ORL Foarfecă nazale Iris sub 45° ( 007510 ), Foarfece nazale sub 45°, lungimea 110-120mm.  Tip Iris, delicat
*Reutilizabil, material inox medical., Bucată</t>
  </si>
  <si>
    <t>Instrument pentru chirurgie ORL.  Foarfece nazale sub 45°, lungimea 110-120mm.  Tip Iris, delicat. 
*Reutilizabil, material inox medical.</t>
  </si>
  <si>
    <t>Instrument pentru chirurgie ORL Lingură auriculară ( 007886 )</t>
  </si>
  <si>
    <t>Instrument pentru chirurgie ORL Lingură auriculară ( 007886 ), Lingură auriculară dublă, cu vîrf ascuțit, metal inoxidabil (Ref.: Л 53), Bucată</t>
  </si>
  <si>
    <t>Instrument pentru chirurgie ORL. Lingură auriculară dublă, cu vîrf ascuțit, metal inoxidabil.  (Ref.: Л 53).</t>
  </si>
  <si>
    <t>Instrument pentru chirurgie ORL Micro-pensa auriculara tip Hartmann ( 007721 )</t>
  </si>
  <si>
    <t>Instrument pentru chirurgie ORL Micro-pensa auriculara tip Hartmann ( 007721 ), Micro pensa auriculara Hartmann, cupe ovale, dreapta, fina,marimea bransei 0.8x1.3 mm, lungimea totala 8cm (+-5mm),inox medical,reutilizabil, Bucată</t>
  </si>
  <si>
    <t xml:space="preserve">Instrument pentru chirurgie ORL. Micro pensa auriculara Hartmann, cupe ovale, dreapta, fina,marimea bransei 0.8x1.3 mm, lungimea totala 8cm (+-5mm), inox medical,reutilizabil. </t>
  </si>
  <si>
    <t>Instrument pentru chirurgie ORL Pensă auriculara tip McGee ( 007739 )</t>
  </si>
  <si>
    <t>Instrument pentru chirurgie ORL Pensă auriculara tip McGee ( 007739 ), Pensa auriculara tip McGee,bransile drepte cu dimensiuni 0,8x3,5 mm, bransile drepte,lungimea totala 8 cm(+/-5mm),inox medical,reutilizabil, Bucată</t>
  </si>
  <si>
    <t xml:space="preserve">Instrument pentru chirurgie ORL. Pensa auriculara tip McGee,bransile drepte cu dimensiuni 0,8x3,5 mm, bransile drepte,lungimea totala 8 cm(+/-5mm), inox medical,reutilizabil. </t>
  </si>
  <si>
    <t>Instrument pentru chirurgie ORL Pensă mușcătoare tip GRÜNWALD-HENKE ( 007568 )</t>
  </si>
  <si>
    <t>Instrument pentru chirurgie ORL Pensă mușcătoare tip GRÜNWALD-HENKE ( 007568 ), 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 Bucată</t>
  </si>
  <si>
    <t>Instrument pentru chirurgie ORL. 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t>
  </si>
  <si>
    <t>Instrument pentru chirurgie ORL Pensă tip Collin ( 007908 )</t>
  </si>
  <si>
    <t>Instrument pentru chirurgie ORL Pensă tip Collin ( 007908 ), Pensă pentru prins limba Collin, Adult, din inox., Bucată</t>
  </si>
  <si>
    <t>Instrument pentru chirurgie ORL. Pensă pentru prins limba Collin, Adult, din inox.</t>
  </si>
  <si>
    <t>Instrument pentru chirurgie ORL Pensă tip Hartman 140mm ( 007541 )</t>
  </si>
  <si>
    <t>Instrument pentru chirurgie ORL Pensă tip Hartman 140mm ( 007541 ), Pensă auriculară curbată, tip Hartman-dimensiuni 140 mm (+/-5mm)
*Reutilizabil, material inox medical., Bucată</t>
  </si>
  <si>
    <t>Instrument pentru chirurgie ORL. Pensă auriculară curbată, tip Hartman-dimensiuni 140 mm (+/-5mm). *Reutilizabil, material inox medical.</t>
  </si>
  <si>
    <t>Instrument pentru chirurgie ORL Pensă tip Hartman 160mm. ( 007570 )</t>
  </si>
  <si>
    <t>Instrument pentru chirurgie ORL Pensă tip Hartman 160mm. ( 007570 ), pensă nazală curbată Hartman 160 mm (+/-5mm).
*Reutilizabil, material inox medical., Bucată</t>
  </si>
  <si>
    <t>Instrument pentru chirurgie ORL. Pensă nazală curbată Hartman 160 mm (+/-5mm). *Reutilizabil, material inox medical.</t>
  </si>
  <si>
    <t>Instrument pentru chirurgie ORL Pensă tip Hartmann-Wullstein ( 007542 )</t>
  </si>
  <si>
    <t>Instrument pentru chirurgie ORL Pensă tip Hartmann-Wullstein ( 007542 ), Pensă auriculară curbată, tip Hartmann-Wullstein ( x-85 mm)
*Reutilizabil, material inox medical., Bucată</t>
  </si>
  <si>
    <t>Instrument pentru chirurgie ORL. Pensă auriculară curbată, tip Hartmann-Wullstein ( x-85 mm). *Reutilizabil, material inox medical.</t>
  </si>
  <si>
    <t>Instrument pentru chirurgie ORL Pensă tip Jansen ( 007740 )</t>
  </si>
  <si>
    <t>Instrument pentru chirurgie ORL Pensă tip Jansen ( 007740 ), Pensa nazala tip baioneta Jansen dimensiuni 18cm-20 cm gofrat.
Material inox medical, nesteril, reutilizabil, obligatoriu ambalaj individual cu sigiliu pentru prima deschidere., Bucată</t>
  </si>
  <si>
    <t>Instrument pentru chirurgie ORL. Pensa nazala tip baioneta Jansen dimensiuni 18cm-20 cm gofrat. Material inox medical, nesteril, reutilizabil, obligatoriu ambalaj individual cu sigiliu pentru prima deschidere.</t>
  </si>
  <si>
    <t>Instrument pentru chirurgie ORL Pensă Weil Blakesley 2 ( 007591 )</t>
  </si>
  <si>
    <t>Instrument pentru chirurgie ORL Pensă Weil Blakesley 2 ( 007591 ), Pensă Weil Blakesley, dreaptă, mărimea 2, lungimea de lucru 11 cm. 
*Reutilizabil, material inox medical., Bucată</t>
  </si>
  <si>
    <t>Instrument pentru chirurgie ORL. Pensă Weil Blakesley, dreaptă, mărimea 2, lungimea de lucru 11-12 cm. *Reutilizabil, material inox medical.</t>
  </si>
  <si>
    <t>Instrument pentru chirurgie ORL Pensă Weil Blakesley 3 ( 007592 )</t>
  </si>
  <si>
    <t>Instrument pentru chirurgie ORL Pensă Weil Blakesley 3 ( 007592 ), Pensă Weil Blakesley, dreaptă, mărimea 3, lungimea de lucru 11 cm. 
*Reutilizabil, material inox medical., Bucată</t>
  </si>
  <si>
    <t>Instrument pentru chirurgie ORL. Pensă Weil Blakesley, dreaptă, mărimea 3, lungimea de lucru 11-12 cm.  *Reutilizabil, material inox medical.</t>
  </si>
  <si>
    <t>Instrument pentru chirurgie ORL Retractor Zenker ( 007780 )</t>
  </si>
  <si>
    <t>Instrument pentru chirurgie ORL Retractor Zenker ( 007780 ), Retractor fin Zenker, cu dimensiunile cârligului de 3x10 mm, lungimea 185 mm  (+/-10mm) (Asemanator codului de referinta Geister 30-0153), Bucată</t>
  </si>
  <si>
    <t xml:space="preserve">Instrument pentru chirurgie ORL. Retractor fin Zenker, cu dimensiunile cârligului de 3x10 mm, lungimea 185 mm  (+/-10mm) (Asemanator codului de referinta Geister 30-0153). </t>
  </si>
  <si>
    <t>Instrument pentru chirurgie ORL Spatula ORL ( 007614 )</t>
  </si>
  <si>
    <t>Instrument pentru chirurgie ORL Spatula ORL ( 007614 ), Spatula, 145 mm(+/-5mm),metal placat
*Reutilizabil, material inox medical., Bucată</t>
  </si>
  <si>
    <t>Instrument pentru chirurgie ORL. Spatula, 145 mm(+/-5mm),metal placat. *Reutilizabil, material inox medical.</t>
  </si>
  <si>
    <t>Instrument pentru chirurgie ORL Specul auricular Hartman 4.5mm ( 007617 )</t>
  </si>
  <si>
    <t>Instrument pentru chirurgie ORL Specul auricular Hartman 4.5mm ( 007617 ), Specul auricular, tip Hartman, diametru 4.5mm, metal placat.
*Reutilizabil, material inox medical., Bucată</t>
  </si>
  <si>
    <t>Instrument pentru chirurgie ORL. Specul auricular, tip Hartman, diametru 4.5mm, metal placat. *Reutilizabil, material inox medical.</t>
  </si>
  <si>
    <t>Instrument pentru chirurgie ORL Specul auricular Hartman 5.5mm ( 007615 )</t>
  </si>
  <si>
    <t>Instrument pentru chirurgie ORL Specul auricular Hartman 5.5mm ( 007615 ), Specul auricular, tip Hartman, diametru 5.5mm ,metal placat
*Reutilizabil, material inox medical., Bucată</t>
  </si>
  <si>
    <t>Instrument pentru chirurgie ORL. Specul auricular, tip Hartman, diametru 5.5mm ,metal placat. *Reutilizabil, material inox medical.</t>
  </si>
  <si>
    <t>Instrument pentru chirurgie ORL Specul auricular Hartman 6.5mm ( 007616 )</t>
  </si>
  <si>
    <t>Instrument pentru chirurgie ORL Specul auricular Hartman 6.5mm ( 007616 ), Specul auricular, tip Hartman, diametru 6.5mm, metal placat
*Reutilizabil, material inox medical., Bucată</t>
  </si>
  <si>
    <t>Instrument pentru chirurgie ORL. Specul auricular, tip Hartman, diametru 6.5mm, metal placat.
*Reutilizabil, material inox medical.</t>
  </si>
  <si>
    <t>Instrument pentru chirurgie ORL Specul nazal Hartman-halle, 30 mm ( 007618 )</t>
  </si>
  <si>
    <t>Instrument pentru chirurgie ORL Specul nazal Hartman-halle, 30 mm ( 007618 ), Specul nazal, tip Hartman-halle, 30 mm.
*Reutilizabil, material inox medical., Bucată</t>
  </si>
  <si>
    <t>Instrument pentru chirurgie ORL. Specul nazal, tip Hartman-halle, 30 mm.
*Reutilizabil, material inox medical.</t>
  </si>
  <si>
    <t>Instrument pentru chirurgie ORL Specul nazal Hartman-halle, 35mm ( 007619 )</t>
  </si>
  <si>
    <t>Instrument pentru chirurgie ORL Specul nazal Hartman-halle, 35mm ( 007619 ), Specul nazal, tip Hartman-halle, 35mm.
*Reutilizabil, material inox medical., Bucată</t>
  </si>
  <si>
    <t>Instrument pentru chirurgie ORL. Specul nazal, tip Hartman-halle, 35mm.
*Reutilizabil, material inox medical.</t>
  </si>
  <si>
    <t>Instrument pentru chirurgie ORL Specul nazal KILLIAN-STRUYCKEN(mare) ( 007793 )</t>
  </si>
  <si>
    <t>Instrument pentru chirurgie ORL Specul nazal KILLIAN-STRUYCKEN(mare) ( 007793 ), Specul nazal tip KILLIAN-STRUYCKEN,lungimea totala 13,5 cm  (+/-10mm),lungimea de lamei 55mm,inox medical reutilizabil,model standard, Bucată</t>
  </si>
  <si>
    <t>Instrument pentru chirurgie ORL. Specul nazal tip KILLIAN-STRUYCKEN,lungimea totala 13,5 cm  (+/-10mm), lungimea de lamei 55mm, inox medical reutilizabil, model standard.</t>
  </si>
  <si>
    <t>Instrument pentru chirurgie ORL Specul nazal KILLIAN(mic) ( 007794 )</t>
  </si>
  <si>
    <t>Instrument pentru chirurgie ORL Specul nazal KILLIAN(mic) ( 007794 ), Specul nazal tip KILLIAN, lungimea totala 130 mm (+/-10mm), lungimea de lamei 3,5mm,inox medical reutilizabil, Bucată</t>
  </si>
  <si>
    <t xml:space="preserve">Instrument pentru chirurgie ORL. Specul nazal tip KILLIAN, lungimea totala 130 mm (+/-10mm), lungimea de lamei 3,5mm, inox medical reutilizabil. </t>
  </si>
  <si>
    <t>Instrument pentru curațare Perie de curațare pentru endoscop, cu 2 capete diamatre 1,6 mm și 3 mm ( 007766 )</t>
  </si>
  <si>
    <t>Instrument pentru curațare Perie de curațare pentru endoscop, cu 2 capete diamatre 1,6 mm și 3 mm ( 007766 ), Perie de curatare pentru endoscop cu 2 capete lucratoare. Lungimea totala 2300mm, diametru total 1,6mm. Lungimea perii 20mm,deametru perii 3mm, Bucată</t>
  </si>
  <si>
    <t xml:space="preserve">Instrument pentru curațare. Perie de curațare pentru endoscop, cu 2 capete diamatre 1,6 mm și 3 mm.  Perie de curatare pentru endoscop cu 2 capete lucratoare. Lungimea totala 2300mm, diametru total 1,6mm. Lungimea perii 20mm,deametru perii 3mm. </t>
  </si>
  <si>
    <t>Instrument pentru curațare Perie de curațare pentru endoscop, cu 2 capete diamatre 1,8 mm și 5 mm ( 007767 )</t>
  </si>
  <si>
    <t>Instrument pentru curațare Perie de curațare pentru endoscop, cu 2 capete diamatre 1,8 mm și 5 mm ( 007767 ), Perie de curatare pentru endoscop cu 2 capete. Lungimea totala 2300mm,deametru total 1,8 mm. Lungimea perii 20mm,deametru perii 5mm, Bucată</t>
  </si>
  <si>
    <t xml:space="preserve">Instrument pentru curațare Perie de curațare pentru endoscop, cu 2 capete diamatre 1,8 mm și 5 mm. Perie de curatare pentru endoscop cu 2 capete. Lungimea totala 2300mm,deametru total 1,8 mm. Lungimea perii 20mm,deametru perii 5mm. </t>
  </si>
  <si>
    <t>Instrumente chirurgicale de ghidaj Ac  pentru canularea venelor cu olivă ( 007635 )</t>
  </si>
  <si>
    <t>Instrumente chirurgicale de ghidaj Ac  pentru canularea venelor cu olivă ( 007635 ), Ac pentru canularea venelor, lungime 90 mm, 13GA , vârf - olive diametrul 2,4 mm. Conector Luer Lock. INSTRUtrumentului, material inox medical, nesteril., Bucată</t>
  </si>
  <si>
    <t>Instrumente chirurgicale de ghidaj. Ac pentru canularea venelor, lungime 90 mm, 13GA , vârf - olive diametrul 2,4 mm. Conector Luer Lock. Instrumentului, material inox medical, nesteril.</t>
  </si>
  <si>
    <t>Instrumente chirurgicale de ghidaj Stilet butonat ( 007797 )</t>
  </si>
  <si>
    <t>Instrumente chirurgicale de ghidaj Stilet butonat ( 007797 ), Stilet butonat ᴓ 2mm,L- 145mm  (+/-10mm). seamana cu o sarma prevazuta cu  un buton la  capat, si cu o ureche ovala la cealalta extremitate Se utilizeaza pentru explorarea fistulelor si efectuarea tamponarilor., Bucată</t>
  </si>
  <si>
    <t>Instrumente chirurgicale de ghidaj. Stilet butonat ᴓ 2mm,L- 145mm  (+/-10mm). Asemănător unei sârme prevazută cu  un buton la  capat, si cu o ureche ovala la cealalta extremitate. Se utilizeaza pentru explorarea fistulelor si efectuarea tamponarilor.</t>
  </si>
  <si>
    <t>Instrumente chirurgicale de ghidaj Tunelizator Allenberg ( 007809 )</t>
  </si>
  <si>
    <t>Instrumente chirurgicale de ghidaj Tunelizator Allenberg ( 007809 ), Tunelizator Allenberg, curbat, 540mm  (+/-10mm), mânere cu clichet, nesteril, reutilizabil, material inox medical., Bucată</t>
  </si>
  <si>
    <t>Instrumente chirurgicale de ghidaj. Tunelizator Allenberg, curbat, 540mm  (+/-10mm), mânere cu clichet,  nesteril, reutilizabil, material inox medical.</t>
  </si>
  <si>
    <t>Instrumente chirurgicale rectale Specula rectala bivalva Bodenhammer ( 007620 )</t>
  </si>
  <si>
    <t>Instrumente chirurgicale rectale Specula rectala bivalva Bodenhammer ( 007620 ), Specula rectala bivalva, tip Bodenhammer, 155 mm (+/- 5 mm), lungimea oglinzii 90 mm, diametru 17 mm.
*Reutilizabil, material inox medical., Bucată</t>
  </si>
  <si>
    <t>Instrumente chirurgicale rectale. Specula rectala bivalva, tip Bodenhammer, 155 mm (+/- 5 mm), lungimea oglinzii 90 mm, diametru 17 mm.
*Reutilizabil, material inox medical.</t>
  </si>
  <si>
    <t>Instrumente chirurgicale rectale Specula rectala bivalva Sims ( 007621 )</t>
  </si>
  <si>
    <t>Instrumente chirurgicale rectale Specula rectala bivalva Sims ( 007621 ), Specula rectala bivalva, tip Sims, 155 mm (+/-5mm), lung oglinzii 90 mm(+/-5mm), diam 17 mm.
*Reutilizabil, material inox medical., Bucată</t>
  </si>
  <si>
    <t>Instrumente chirurgicale rectale. Specula rectala bivalva, tip Sims, 155 mm (+/-5mm), lung oglinzii 90 mm(+/-5mm), diametru 17 mm.
*Reutilizabil, material inox medical.</t>
  </si>
  <si>
    <t>Instrumente de irigație și aspirație Seringa Janet ( 007613 )</t>
  </si>
  <si>
    <t>Instrumente de irigație și aspirație Seringa Janet ( 007613 ), seringa Janet de uz multiplu,corp metalic si sticla cu canula metalica, 150 ml.
*Reutilizabil, material inox medical., Bucată</t>
  </si>
  <si>
    <t>Instrumente de irigație și aspirație. Seringa Janet de uz multiplu, corp metalic si sticla cu canula metalica, 150 ml.
*Reutilizabil, material inox medical.</t>
  </si>
  <si>
    <t>Instrumente de irigație și aspirație Spălător trocar, 10mm ( 007941 )</t>
  </si>
  <si>
    <t>Instrumente de irigație și aspirație Spălător trocar, 10mm ( 007941 ), Spălător trocar, diametru 10 mm, material - cauciuc, reutilizabil, autoclavabil, Bucată</t>
  </si>
  <si>
    <t>Instrumente de irigație și aspirație. Spălător trocar, diametru 10 mm, material - cauciuc, reutilizabil, autoclavabil.</t>
  </si>
  <si>
    <t>Instrumente de irigație și aspirație Spălător trocar, 5mm ( 007942 )</t>
  </si>
  <si>
    <t>Instrumente de irigație și aspirație Spălător trocar, 5mm ( 007942 ), Spălător trocar, diametru 5 mm, material - cauciuc, reutilizabil, autoclavabil, Bucată</t>
  </si>
  <si>
    <t>Instrumente de irigație și aspirație. Spălător trocar, diametru 5 mm, material - cauciuc, reutilizabil, autoclavabil.</t>
  </si>
  <si>
    <t>Instrumente de irigație și aspirație Tub de aspirare laparoscopică 10mm ( 007630 )</t>
  </si>
  <si>
    <t>Instrumente de irigație și aspirație Tub de aspirare laparoscopică 10mm ( 007630 ), Tub aspirare laparoscopica D-10mm: L-360mm (+/-5mm), bont, cu conector tip tata pentru tubul de aspiratie din polipropilen. 
*Reutilizabil, material inox medical., Bucată</t>
  </si>
  <si>
    <t>Instrumente de irigație și aspirație. Tub aspirare laparoscopica D-10mm: Lungimea minim 360mm, bont, cu conector tip tata pentru tubul de aspiratie din polipropilen. 
*Reutilizabil, material inox medical.</t>
  </si>
  <si>
    <t>Instrumente de irigație și aspirație Tub de irigare aspirare laparoscopica ( 007631 )</t>
  </si>
  <si>
    <t>Instrumente de irigație și aspirație Tub de irigare aspirare laparoscopica ( 007631 ), Tub de irigare aspirare laparoscopica D- 5mm; L- 330 mm(+/-5mm), cu control biirecțional tip stopcock, cu orificii laterale la varf. 
*Reutilizabil, material inox medical., Bucată</t>
  </si>
  <si>
    <t>Instrumente de irigație și aspirație. Tub de irigare aspirare laparoscopica D- 5mm; L- 330 mm(+/-5mm), cu control biirecțional tip stopcock, cu orificii laterale la varf. 
*Reutilizabil, material inox medical.</t>
  </si>
  <si>
    <t>Instrumente de irigație și aspirație Tub pentru punctie cu control de aspiratie ( 007632 )</t>
  </si>
  <si>
    <t>Instrumente de irigație și aspirație Tub pentru punctie cu control de aspiratie ( 007632 ), Tub pentru puncție cu control de aspirație a chisturilor, din 2 parți: corp- diametrul 5mm, vârful acului pentru puncție diametrul 1,6mm, Lungimea - 360mm, conector Luer.
*Reutilizabil, material inox medical., Bucată</t>
  </si>
  <si>
    <t>Instrumente de irigație și aspirație. Tub pentru puncție cu control de aspirație a chisturilor, din 2 parți: corp- diametrul 5mm, vârful acului pentru puncție diametrul 1,6mm, Lungimea - 360mm, conector Luer.
*Reutilizabil, material inox medical.</t>
  </si>
  <si>
    <t>Instrumente de prindere atraumatică Pensă (Forceps) atraumatică pentru țesuturi DeBakey ( 007737 )</t>
  </si>
  <si>
    <t>Instrumente de prindere atraumatică Pensă (Forceps) atraumatică pentru țesuturi DeBakey ( 007737 ), Pensă (Forceps) atraumatică pentru țesuturi DeBakey,  Lungimea instrumentului 150 mm (+/-5cm), bransele drepte de 2.0 mm (Asemanator codului de referinta Geister 10-0110), Bucată</t>
  </si>
  <si>
    <t>Instrumente de prindere atraumatică. Pensă (Forceps) atraumatică pentru țesuturi DeBakey,  Lungimea instrumentului 150 mm (+/-5cm), bransele drepte de 2.0 mm (Asemanator codului de referinta Geister 10-0110).</t>
  </si>
  <si>
    <t>Instrumente de prindere atraumatică Pensă (Forceps) atraumatică pentru țesuturi DeBakey-Light ( 007738 )</t>
  </si>
  <si>
    <t>Instrumente de prindere atraumatică Pensă (Forceps) atraumatică pentru țesuturi DeBakey-Light ( 007738 ), Pensă (Forceps) atraumatică pentru țesuturi DeBakey-Light,  Lungimea instrumentului 150 mm (+/-5cm), bransele drepte de 1.0 mm (Asemanator codului de referinta Geister 10-0050), Bucată</t>
  </si>
  <si>
    <t>Instrumente de prindere atraumatică. Pensă (Forceps) atraumatică pentru țesuturi DeBakey-Light,  Lungimea instrumentului 150 mm (+/-5cm), bransele drepte de 1.0 mm (Asemanator codului de referinta Geister 10-0050).</t>
  </si>
  <si>
    <t>Instrumente de sterilizare și de depozitare a instrumentelor chirurgicale Caseta pentru sterilizarea acelor chirurgicale ( 007458 )</t>
  </si>
  <si>
    <t>Instrumente de sterilizare și de depozitare a instrumentelor chirurgicale Caseta pentru sterilizarea acelor chirurgicale ( 007458 ), Caseta pentru sterilizarea acelor chirurgicale: Metal ; minim 7 dispartituri pentru ace chirurgicale cu gauri posibil de sterilizare minim 150x95x13mm.
*Reutilizabil, material inox medical., Bucată</t>
  </si>
  <si>
    <t>Instrumente de sterilizare și de depozitare a instrumentelor chirurgicale. Caseta pentru sterilizarea acelor chirurgicale: Metal ; minim 7 disparțituri pentru ace chirurgicale cu gauri, dimensiuni minim 150x95x13mm.
*Reutilizabil, material inox medical.</t>
  </si>
  <si>
    <t>Instrumente de sterilizare și de depozitare a instrumentelor chirurgicale Casolete medicale pentru sterilizare ( 007816 )</t>
  </si>
  <si>
    <t>Instrumente de sterilizare și de depozitare a instrumentelor chirurgicale Casolete medicale pentru sterilizare ( 007816 ), Destinaţie: pentru sterilizare materialulului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
Mostră: prezentarea 1 unități, Bucată</t>
  </si>
  <si>
    <t>Instrumente de sterilizare și de depozitare a instrumentelor chirurgicale. Casolete medicale pentru sterilizare. Destinaţie: pentru sterilizare materialulului consumabil, pansament și produse medicale în autoclav
Proprietăți:  
Rezistentă la sterilizarea cu abur sub presiune 
Tip material inox minim AISI-304
capac cu sistem de blocare prin clemă, mâner de transportare și sistem de aerisire pentru a permite circulația liberă a aburului în timpul ciclului de sterilizare
Dimensiuni: Ø 360 x h190 mm (+/-10mm)</t>
  </si>
  <si>
    <t>Instrumente de sterilizare și de depozitare a instrumentelor chirurgicale Container pentru dezinfecția instrumentelor  55-60 x25 cm cu plasa interioara detașabilă ( 007820 )</t>
  </si>
  <si>
    <t>Instrumente de sterilizare și de depozitare a instrumentelor chirurgicale Container pentru dezinfecția instrumentelor  55-60 x25 cm cu plasa interioara detașabilă ( 007820 ), Container pentru dezinfecția instrumentelor 55-60 x20-25 cm cu plasa interioara detașabilă., Bucată</t>
  </si>
  <si>
    <t>Instrumente de sterilizare și de depozitare a instrumentelor chirurgicale. Container pentru dezinfecția instrumentelor 55-60 x20-25 cm cu plasa interioara detașabilă.</t>
  </si>
  <si>
    <t>Instrumente de sterilizare și de depozitare a instrumentelor chirurgicale Cutie de sterilizare si pastrare a instrumentelor ( 007824 )</t>
  </si>
  <si>
    <t>Instrumente de sterilizare și de depozitare a instrumentelor chirurgicale Cutie de sterilizare si pastrare a instrumentelor ( 007824 ), Cutie de sterilizare, polimer, dimensiuni exterioare 16 cm x 9 cm x 2.6 cm,dimensiuni interioare 15,5 cm x 8,5 cm, 1 covoras silicon.Capac detasabil,transparent.Sistem de inchidere., Bucată</t>
  </si>
  <si>
    <t>Instrumente de sterilizare și de depozitare a instrumentelor chirurgicale. Cutie de sterilizare, polimer, dimensiuni exterioare 16 cm x 9 cm x 2.6 cm,dimensiuni interioare 15,5 cm x 8,5 cm, 1 covoras silicon.Capac detasabil, transparent. Sistem de inchidere.</t>
  </si>
  <si>
    <t>Instrumente de sterilizare și de depozitare a instrumentelor chirurgicale Cuva de inox ovala ( 007477 )</t>
  </si>
  <si>
    <t>Instrumente de sterilizare și de depozitare a instrumentelor chirurgicale Cuva de inox ovala ( 007477 ), Cuva de inox ovala 250 x 140 x 40 (+/- 5) mm. 
*Reutilizabil, material inox medical., Bucată</t>
  </si>
  <si>
    <t>Instrumente de sterilizare și de depozitare a instrumentelor chirurgicale. Cuva de inox ovala 250 x 140 x 40 (+/- 5) mm. 
*Reutilizabil, material inox medical.</t>
  </si>
  <si>
    <t>Instrumente de sterilizare și de depozitare a instrumentelor chirurgicale Cuvă dreptunghiulară 220x115mm ( 007830 )</t>
  </si>
  <si>
    <t>Instrumente de sterilizare și de depozitare a instrumentelor chirurgicale Cuvă dreptunghiulară 220x115mm ( 007830 ), Cuvă dreptunghiulara, 220x115 (±10mm), inox, Bucată</t>
  </si>
  <si>
    <t>Instrumente de sterilizare și de depozitare a instrumentelor chirurgicale. Cuvă dreptunghiulara, 220x115 (±10mm), inox.</t>
  </si>
  <si>
    <t>Instrumente de sterilizare și de depozitare a instrumentelor chirurgicale Cuvă dreptunghiulara 240x520mm ( 006105 )</t>
  </si>
  <si>
    <t>Instrumente de sterilizare și de depozitare a instrumentelor chirurgicale Cuvă dreptunghiulara 240x520mm ( 006105 ), Cuva dreptunghiulara, 240x520 (+/- 20) mm,  inox, Bucată</t>
  </si>
  <si>
    <t>Instrumente de sterilizare și de depozitare a instrumentelor chirurgicale. Cuva dreptunghiulara, 240x520 (+/- 20) mm,  inox.</t>
  </si>
  <si>
    <t>Instrumente de sterilizare și de depozitare a instrumentelor chirurgicale Cuvă dreptunghiulară 260x165mm ( 007831 )</t>
  </si>
  <si>
    <t>Instrumente de sterilizare și de depozitare a instrumentelor chirurgicale Cuvă dreptunghiulară 260x165mm ( 007831 ), Cuvă dreptunghiulara, 260x165 (±10mm), inox, Bucată</t>
  </si>
  <si>
    <t>Instrumente de sterilizare și de depozitare a instrumentelor chirurgicale. Cuvă dreptunghiulara, 260x165 (±10mm), inox.</t>
  </si>
  <si>
    <t>Instrumente de sterilizare și de depozitare a instrumentelor chirurgicale Cuvă dreptunghiulară 300x220mm ( 007832 )</t>
  </si>
  <si>
    <t>Instrumente de sterilizare și de depozitare a instrumentelor chirurgicale Cuvă dreptunghiulară 300x220mm ( 007832 ), Cuvă dreptunghiulara, 300x220 (±10mm), inox, Bucată</t>
  </si>
  <si>
    <t>Instrumente de sterilizare și de depozitare a instrumentelor chirurgicale. Cuvă dreptunghiulara, 300x220 (±10mm), inox.</t>
  </si>
  <si>
    <t>Instrumente de sterilizare și de depozitare a instrumentelor chirurgicale Cuvă dreptunghiulară 310x240mm ( 007833 )</t>
  </si>
  <si>
    <t>Instrumente de sterilizare și de depozitare a instrumentelor chirurgicale Cuvă dreptunghiulară 310x240mm ( 007833 ), Cuvă dreptunghiulara, 310x240 (±10mm), inox, Bucată</t>
  </si>
  <si>
    <t>Instrumente de sterilizare și de depozitare a instrumentelor chirurgicale. Cuvă dreptunghiulara, 310x240 (±10mm), inox.</t>
  </si>
  <si>
    <t>Instrumente de sterilizare și de depozitare a instrumentelor chirurgicale Cuvă dreptunghiulară 400x300mm ( 007834 )</t>
  </si>
  <si>
    <t>Instrumente de sterilizare și de depozitare a instrumentelor chirurgicale Cuvă dreptunghiulară 400x300mm ( 007834 ), Cuvă dreptunghiulara, 400x300 (±10mm), inox, Bucată</t>
  </si>
  <si>
    <t>Instrumente de sterilizare și de depozitare a instrumentelor chirurgicale. Cuvă dreptunghiulara, 400x300 (±10mm), inox.</t>
  </si>
  <si>
    <t>Instrumente de sterilizare și de depozitare a instrumentelor chirurgicale Cuvă reniformă metalică 18cm ( 007835 )</t>
  </si>
  <si>
    <t>Instrumente de sterilizare și de depozitare a instrumentelor chirurgicale Cuvă reniformă metalică 18cm ( 007835 ), Cuvă reniformă metalică 18cm (±1cm), Bucată</t>
  </si>
  <si>
    <t>Instrumente de sterilizare și de depozitare a instrumentelor chirurgicale. Cuvă reniformă metalică 18cm (±1cm).</t>
  </si>
  <si>
    <t>Instrumente de sterilizare și de depozitare a instrumentelor chirurgicale Cuvă reniformă metalică 20cm ( 007836 )</t>
  </si>
  <si>
    <t>Instrumente de sterilizare și de depozitare a instrumentelor chirurgicale Cuvă reniformă metalică 20cm ( 007836 ), Cuvă reniformă metalică 20cm (±1cm), Bucată</t>
  </si>
  <si>
    <t>Instrumente de sterilizare și de depozitare a instrumentelor chirurgicale. Cuvă reniformă metalică 20cm (±1cm).</t>
  </si>
  <si>
    <t>Instrumente de sterilizare și de depozitare a instrumentelor chirurgicale Cuvă reniformă metalică 22cm ( 007837 )</t>
  </si>
  <si>
    <t>Instrumente de sterilizare și de depozitare a instrumentelor chirurgicale Cuvă reniformă metalică 22cm ( 007837 ), Cuvă reniformă metalică 22cm (±1cm), Bucată</t>
  </si>
  <si>
    <t>Instrumente de sterilizare și de depozitare a instrumentelor chirurgicale. Cuvă reniformă metalică 22cm (±1cm).</t>
  </si>
  <si>
    <t>Instrumente de sterilizare și de depozitare a instrumentelor chirurgicale Cuvă reniformă metalică 24cm ( 007838 )</t>
  </si>
  <si>
    <t>Instrumente de sterilizare și de depozitare a instrumentelor chirurgicale Cuvă reniformă metalică 24cm ( 007838 ), Cuvă reniformă metalică 24cm (±1cm), Bucată</t>
  </si>
  <si>
    <t>Instrumente de sterilizare și de depozitare a instrumentelor chirurgicale. Cuvă reniformă metalică 24cm (±1cm).</t>
  </si>
  <si>
    <t>Instrumente de sterilizare și de depozitare a instrumentelor chirurgicale Cuvă reniformă metalică 26cm ( 007839 )</t>
  </si>
  <si>
    <t>Instrumente de sterilizare și de depozitare a instrumentelor chirurgicale Cuvă reniformă metalică 26cm ( 007839 ), Cuvă reniformă metalică 26cm (±1cm), Bucată</t>
  </si>
  <si>
    <t xml:space="preserve">Instrumente de sterilizare și de depozitare a instrumentelor chirurgicale. Cuvă reniformă metalică 26cm (±1cm). </t>
  </si>
  <si>
    <t>Instrumente endoscopice Forceps biopsie "fierbinte" ( 007702 )</t>
  </si>
  <si>
    <t>Instrumente endoscopice Forceps biopsie "fierbinte" ( 007702 ), Forceps biopsie pentru diametru canalului de lucru 2,8-3,7mm(la cerere), cu diametru sculei numai mic de 2,6 mm,  lungimea nu mai mica de 230 cm, Bucată</t>
  </si>
  <si>
    <t xml:space="preserve">Instrumente endoscopice. Forceps biopsie pentru diametru canalului de lucru 2,8-3,7mm(la cerere), cu diametru sculei numai mic de 2,6 mm,  lungimea nu mai mica de 230 cm. </t>
  </si>
  <si>
    <t>Instrumente endoscopice Forceps biopsie bronhoscop/laringoscop 2.2 mm ( 007873 )</t>
  </si>
  <si>
    <t>Instrumente endoscopice Forceps biopsie bronhoscop/laringoscop 2.2 mm ( 007873 ), Forceps biopsie pentru bronhoscop cu canalul de biopsie 2.2mm. Lungimea 110cm – 130cm., Bucată</t>
  </si>
  <si>
    <t>Instrumente endoscopice. Forceps biopsie pentru bronhoscop cu canalul de biopsie 2.2mm. Lungimea 110cm – 130cm.</t>
  </si>
  <si>
    <t>Instrumente endoscopice Forceps biopsie colonoscop ( 007874 )</t>
  </si>
  <si>
    <t>Instrumente endoscopice Forceps biopsie colonoscop ( 007874 ), Forceps biopsie colonoscop cu diametrul canalului de 2,8-3,2mm, cu ac,lungimea-230cm (+/- 10 mm), Bucată</t>
  </si>
  <si>
    <t>Instrumente endoscopice. Forceps biopsie colonoscop cu diametrul canalului de 2,8-3,2mm, cu ac,lungimea-230cm (+/- 10 mm).</t>
  </si>
  <si>
    <t>Instrumente endoscopice Forceps biopsie gastroscop ( 007875 )</t>
  </si>
  <si>
    <t>Instrumente endoscopice Forceps biopsie gastroscop ( 007875 ), Forceps biopsie gastroscop pentru canalul de lucru cu diametrul de 2,2-2,8mm,cu ac,lungimea: 160 -180 cm, Bucată</t>
  </si>
  <si>
    <t>Instrumente endoscopice. Forceps biopsie gastroscop pentru canalul de lucru cu diametrul de 2,2-2,8mm,cu ac,lungimea: 160 -180 cm.</t>
  </si>
  <si>
    <t>Instrumente endoscopice Forceps de litoextractie pentru ureteroscop, 1,0 mm., capat distal ( 007876 )</t>
  </si>
  <si>
    <t>Instrumente endoscopice Forceps de litoextractie pentru ureteroscop, tip Aligator ( 007876 )</t>
  </si>
  <si>
    <t>Instrumente endoscopice Forceps de litoextractie pentru ureteroscop, 1,0 mm., capat distal ( 007876 ), Forceps de litoextractie pentru ureteroscop, semirigid, lungimea 600 mm (+/- 10 mm). Diametru 1,0 mm., capat distal tip Alligator, Bucată</t>
  </si>
  <si>
    <t>Instrumente endoscopice. Forceps de litoextractie pentru ureteroscop, semirigid, lungimea 600 mm (+/- 10 mm). Diametru 1,0 mm., capat distal tip Alligator.</t>
  </si>
  <si>
    <t>Instrumente endoscopice Forceps de litoextractie pentru ureteroscop, 1,4 mm., cu branse cupe dintate ( 007877 )</t>
  </si>
  <si>
    <t>Instrumente endoscopice Forceps de litoextractie pentru ureteroscop, 1,4 mm., cu branse cupe dintate ( 007877 ), Forceps de litoextractie pentru ureteroscop, semirigid,  lungimea 600 mm(+/- 10 mm). Diametru 1,4 mm., cu branse cupe dintate, Bucată</t>
  </si>
  <si>
    <t>Instrumente endoscopice. Forceps de litoextractie pentru ureteroscop, semirigid,  lungimea 600 mm(+/- 10 mm). Diametru 1,4 mm., cu branse cupe dintate.</t>
  </si>
  <si>
    <t>Instrumente endoscopice Forceps de litoextractie pentru ureteroscop, 1,4 mm., cu branse cupe serate ( 007878 )</t>
  </si>
  <si>
    <t>Instrumente endoscopice Forceps de litoextractie pentru ureteroscop, 1,4 mm., cu branse cupe serate ( 007878 ), Forceps de litoextractie pentru ureteroscop, semirigid,  lungimea 600 mm (+/- 10 mm). Diametru 1,4 mm., cu branse cupe serate, Bucată</t>
  </si>
  <si>
    <t>Instrumente endoscopice. Forceps de litoextractie pentru ureteroscop, semirigid,  lungimea 600 mm (+/- 10 mm). Diametru 1,4 mm., cu branse cupe serate.</t>
  </si>
  <si>
    <t>Instrumente endoscopice Forceps endoscopic pentru hemostaza prin coagulare ( 007703 )</t>
  </si>
  <si>
    <t>Instrumente endoscopice Forceps endoscopic pentru hemostaza prin coagulare ( 007703 ), Forceps endoscopic pentru hemostaza prin coagulare, cu conector lateral. Deschiderea branselor 5-9mm. Lungimea 2300mm (+-10mm), Bucată</t>
  </si>
  <si>
    <t>Instrumente endoscopice. Forceps endoscopic pentru hemostaza prin coagulare, cu conector lateral. Deschiderea branselor 5-9mm. Lungimea 2300mm (+-10mm).</t>
  </si>
  <si>
    <t>Instrumente endoscopice Forceps tip  combinat “Aligator” si "dinte de soarece" ( 007704 )</t>
  </si>
  <si>
    <t>Instrumente endoscopice Forceps tip  combinat “Aligator” si "dinte de soarece" ( 007704 ), Forceps tip  combinat “Aligator” si "dinte de soarece" pentru înlăturarea corpilor străini ,cu 2dinti,bransele deschise &gt;14mm compatibil  cu canalul endoscopului de 2,8mm,lungime 230cm (+-10mm), Bucată</t>
  </si>
  <si>
    <t>Instrumente endoscopice. Forceps tip  combinat “Aligator” si "dinte de soarece" pentru înlăturarea corpilor străini ,cu 2dinti,bransele deschise &gt;14mm compatibil  cu canalul endoscopului de 2,8mm,lungime 230cm (+-10mm).</t>
  </si>
  <si>
    <t>Instrumente endoscopice Forceps tip "pelican" pentru extragerea corpi straini ( 007705 )</t>
  </si>
  <si>
    <t>Instrumente endoscopice Forceps tip "pelican" pentru extragerea corpi straini ( 007705 ), Forceps tip "pelican" pentru extragerea corpi straini, bransele deschise &gt; 17 mm, diametrul 2,5-2,8 mm, lungimea 160-280  cm, Bucată</t>
  </si>
  <si>
    <t>Instrumente endoscopice. Forceps tip "pelican" pentru extragerea corpi straini, bransele deschise &gt; 17 mm, diametrul 2,5-2,8 mm, lungimea 160-280  cm.</t>
  </si>
  <si>
    <t>Instrumente endoscopice Forcepsele Tischler Biopsy Punch ( 007880 )</t>
  </si>
  <si>
    <t>Instrumente endoscopice Forcepsele Tischler Biopsy Punch ( 007880 ), Forcepsul fabricat din oțel inoxidabil cu arbore de 10"(25,4cm), mușcătura 3x7mm cu blocare ușor de utilizat pentru degetul mare, Bucată</t>
  </si>
  <si>
    <t>Instrumente endoscopice. Forcepsele Tischler Biopsy Punch. Forcepsul fabricat din oțel inoxidabil cu arbore de 10"(25,4cm), mușcătura 3x7mm cu blocare ușor de utilizat pentru degetul mare.</t>
  </si>
  <si>
    <t>Instrumente endoscopice Pensă de prehensiunea atraumatica endoscopică (Babcook) ( 007552 )</t>
  </si>
  <si>
    <t>Instrumente endoscopice Pensă de prehensiunea atraumatica endoscopică (Babcook) ( 007552 ), Pensă de prehensiunea atraumatica endoscopică (Babcook) D-10mm : L-340 ± 30mm, cu mecanism rotator, cu izolator, branșe fenestrate 35 ± 3mm, deschidere cu acțiune dublă, cu serații transversale, cu vârfuri bonte, rotunjite, miner cu cremaliera , dezasamblabil, pentru uz multiplu.
*Reutilizabil, material inox medical., Bucată</t>
  </si>
  <si>
    <t>Instrumente endoscopice. Pensă de prehensiunea atraumatica endoscopică (Babcook) D-10mm : L-340 ± 30mm, cu mecanism rotator, cu izolator, branșe fenestrate 35 ± 3mm, deschidere cu acțiune dublă, cu serații transversale, cu vârfuri bonte, rotunjite, miner cu cremaliera , dezasamblabil. 
*Reutilizabil, material inox medical.</t>
  </si>
  <si>
    <t>Instrumente hemostatice Pensă port-tampon GROSS-MAIER , drept, 200mm ( 007576 )</t>
  </si>
  <si>
    <t>Instrumente hemostatice Pensă port-tampon GROSS-MAIER , drept, 200mm ( 007576 ), Pensa porttampon  GROSS-MAIER , drept, cu clemariera, 200mm(+/-5mm).
*Reutilizabil, material inox medical., Bucată</t>
  </si>
  <si>
    <t>Instrumente hemostatice. Pensa porttampon  GROSS-MAIER , drept, cu clemariera, 200mm(+/-5mm).
*Reutilizabil, material inox medical.</t>
  </si>
  <si>
    <t>Instrumente hemostatice Pensă port-tampon GROSS-MAIER, curb, 200mm ( 007575 )</t>
  </si>
  <si>
    <t>Instrumente hemostatice Pensă port-tampon GROSS-MAIER, curb, 200mm ( 007575 ), Pensa porttampon  GROSS-MAIER , curb, cu clemariera, 220mm(+/-5mm).
*Reutilizabil, material inox medical., Bucată</t>
  </si>
  <si>
    <t>Instrumente hemostatice. Pensa porttampon  GROSS-MAIER , curb, cu clemariera, 220mm(+/-5mm).
*Reutilizabil, material inox medical.</t>
  </si>
  <si>
    <t>Instrumente hemostatice Pensă port-tampon tip Gross-Maier curb, 250mm ( 007573 )</t>
  </si>
  <si>
    <t>Instrumente hemostatice Pensă port-tampon tip Gross-Maier curb, 250mm ( 007573 ), Pensa port tampon tip Gross-Maier cu clemalieră, lungime 250mm  (+/- 5 mm), branșele curbe, *Reutilizabil, material inox medical., Bucată</t>
  </si>
  <si>
    <t>Instrumente hemostatice. Pensa port tampon tip Gross-Maier cu clemalieră, lungime 250mm  (+/- 5 mm), branșele curbe.
*Reutilizabil, material inox medical.</t>
  </si>
  <si>
    <t>Instrumente hemostatice Pensă port-tampon tip GROSS-MAIER, drept 250mm ( 007574 )</t>
  </si>
  <si>
    <t>Instrumente hemostatice Pensă port-tampon tip GROSS-MAIER, drept 250mm ( 007574 ), Pensa port tampon tip GROSS-MAIER, 250mm  (+/- 5 mm)direct, cu clemieră.
*Reutilizabil, material inox medical., Bucată</t>
  </si>
  <si>
    <t>Instrumente hemostatice. Pensa port tampon tip GROSS-MAIER, 250mm  (+/- 5 mm) drept, cu clemieră.
*Reutilizabil, material inox medical.</t>
  </si>
  <si>
    <t>Instrumente hemostatice Pensă port-tampon tip Mayer, curb, 260mm ( 007577 )</t>
  </si>
  <si>
    <t>Instrumente hemostatice Pensă port-tampon tip Mayer, curb, 260mm ( 007577 ),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 Bucată</t>
  </si>
  <si>
    <t>Instrumente hemostatice.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</si>
  <si>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tampon nazal 200-210 mm ( 007580 )</t>
  </si>
  <si>
    <t>Instrumente hemostatice Pensă tampon nazal 200-210 mm ( 007580 ), Pensa tampon nazal, încovoiat 200-210 mm. 
*Reutilizabil, material inox medical., Bucată</t>
  </si>
  <si>
    <t>Instrumente hemostatice. Pensa tampon nazal, încovoiat 200-210 mm. 
*Reutilizabil, material inox medical.</t>
  </si>
  <si>
    <t>Instrumente hemostatice Pensă tip Baby-Mosquito (Hartmann) ( 007749 )</t>
  </si>
  <si>
    <t>Instrumente hemostatice Pensă tip Baby-Mosquito (Hartmann) ( 007749 ), Pensă hemostatică fină - Baby-Mosquito (Hartmann) Lungimea instrumentului 90 mm (+/-5cm), bransele drepte (Asemanator codului de referinta Geister 25-1060), Bucată</t>
  </si>
  <si>
    <t>Instrumente hemostatice. Pensă hemostatică fină - Baby-Mosquito (Hartmann). Lungimea instrumentului 90 mm (+/-5cm), bransele drepte (Asemanator codului de referinta Geister 25-1060).</t>
  </si>
  <si>
    <t>Instrumente hemostatice Pensă tip COLLER-CRILE 140mm ( 007557 )</t>
  </si>
  <si>
    <t>Instrumente hemostatice Pensă tip COLLER-CRILE 140mm ( 007557 ), Pensă hemostatică COLLER-CRILE: dreapta cu clemariera 140mm  (+/- 5 mm). 
Reutilizabil, material inox medical, nesteril, duritatea metalului în limitele 40-48 HRC confirmată prin certificat de la producator., Bucată</t>
  </si>
  <si>
    <t>Instrumente hemostatice. Pensă hemostatică COLLER-CRILE: dreapta cu clemariera 140mm  (+/- 5 mm). 
Reutilizabil, material inox medical, nesteril, duritatea metalului în limitele 40-48 HRC confirmată prin certificat de la producator., Bucată</t>
  </si>
  <si>
    <t>Instrumente hemostatice Pensă tip CRAFOORD, 240 mm ( 007558 )</t>
  </si>
  <si>
    <t>Instrumente hemostatice Pensă tip CRAFOORD, 240 mm ( 007558 ), Pensă hemostatică tip CRAFOORD, cu branșele curbate, serate, lungimea 240 mm (+/-5mm)
*Reutilizabil, material inox medical., Bucată</t>
  </si>
  <si>
    <t>Instrumente hemostatice. Pensă hemostatică tip CRAFOORD, cu branșele curbate, serate, lungimea 240 mm (+/-5mm)
*Reutilizabil, material inox medical.</t>
  </si>
  <si>
    <t>Instrumente hemostatice Pensă tip CRILE ( 007559 )</t>
  </si>
  <si>
    <t>Instrumente hemostatice Pensă tip CRILE ( 007559 ), Pensă hemostatică tip CRILE, cu branșele curbate, serate, lungimea 160 mm (+/-10 mm), reutilizabil, material inox medical, fără latex, duritatea metalului in limitele 40-48 HRC confirmată prin certificat de la producator., Bucată</t>
  </si>
  <si>
    <t>Instrumente hemostatice. Pensă hemostatică tip CRILE, cu branșele curbate, serate, lungimea 160 mm (+/-10 mm). Reutilizabil, material inox medical, fără latex, duritatea metalului in limitele 40-48 HRC confirmată prin certificat de la producator.</t>
  </si>
  <si>
    <t>Instrumente hemostatice Pensă tip FOERSTER ( 007581 )</t>
  </si>
  <si>
    <t>Instrumente hemostatice Pensă tip FOERSTER ( 007581 ), Pensa tip FOERSTER, cu cremaliera ,lungimea 250mm (+/-5 mm)
*Reutilizabil, material inox medical., Bucată</t>
  </si>
  <si>
    <t>Instrumente hemostatice. Pensa tip FOERSTER, cu cremaliera ,lungimea 250mm (+/-5 mm)
*Reutilizabil, material inox medical.</t>
  </si>
  <si>
    <t>Instrumente hemostatice Pensă tip Halstead-Mosquito ( 007750 )</t>
  </si>
  <si>
    <t>Instrumente hemostatice Pensă tip Halstead-Mosquito ( 007750 ), Pensă hemostatică fină - Halstead-Mosquito, Lungimea instrumentului 120 -140mm, bransele curbe (Asemanator codului de referinta Geister 25-1071), Bucată</t>
  </si>
  <si>
    <t>Instrumente hemostatice. Pensă hemostatică fină - Halstead-Mosquito, Lungimea instrumentului 120 -140mm, bransele curbe (Asemanator codului de referinta Geister 25-1071).</t>
  </si>
  <si>
    <t>Instrumente hemostatice Pensă tip Heiss ( 007751 )</t>
  </si>
  <si>
    <t>Instrumente hemostatice Pensă tip Heiss ( 007751 ), Pensă hemostatică fină - Heiss, Lungimea instrumentului 200 mm (+/-5cm), bransele curbe (Asemanator codului de referinta Geister 25-0152), Bucată</t>
  </si>
  <si>
    <t>Instrumente hemostatice. Pensă hemostatică fină - Heiss, Lungimea instrumentului 200 mm (+/-5cm), bransele curbe (Asemanator codului de referinta Geister 25-0152).</t>
  </si>
  <si>
    <t>Instrumente hemostatice Pensă tip JACOBSON ( 007753 )</t>
  </si>
  <si>
    <t>Instrumente hemostatice Pensă tip JACOBSON ( 007753 ), Pensă hemostatică tip JACOBSON, cu branșele curbate, serate, lungimea 130 mm (+/-10 mm), material inox medical, fara latex, duritatea metalului in limitele 40-48 HRC confirmata prin certificat de la producator., Bucată</t>
  </si>
  <si>
    <t>Instrumente hemostatice. Pensă hemostatică tip JACOBSON, cu branșele curbate, serate, lungimea 130 mm (+/-10 mm), material inox medical, fara latex, duritatea metalului in limitele 40-48 HRC confirmata prin certificat de la producator.</t>
  </si>
  <si>
    <t>Instrumente hemostatice Pensă tip Kocher-Ochsner, curb, 225mm ( 007564 )</t>
  </si>
  <si>
    <t>Instrumente hemostatice Pensă tip Kocher-Ochsner, curb, 225mm ( 007564 ), Pensă hemostatică tip Kocher-Ochsner, lungimea 225 mm (+/-5mm), cu branșe curbate, serate, dințat 1x2. Reutilizabil, material inox medical, nesteril, duritatea metalului în limitele 40-48 HRC confirmată prin certificat de la producător., Bucată</t>
  </si>
  <si>
    <t>Instrumente hemostatice. Pensă hemostatică tip Kocher-Ochsner, lungimea 225 mm (+/-5mm), cu branșe curbate, serate, dințat 1x2. Reutilizabil, material inox medical, nesteril, duritatea metalului în limitele 40-48 HRC confirmată prin certificat de la producător.</t>
  </si>
  <si>
    <t>Instrumente hemostatice Pensă tip Kocher-Ochsner, curb, 240mm ( 007565 )</t>
  </si>
  <si>
    <t>Instrumente hemostatice Pensă tip Kocher-Ochsner, curb, 240mm ( 007565 ), Pensă hemostatică tip Kocher-Ochsner, lungimea 240 mm (+/-5mm), cu branșe curbate, serate, dințat 1x2. Reutilizabil, material inox medical, nesteril, duritatea metalului în limitele 40-48 HRC confirmată prin certificat de la producător., Bucată</t>
  </si>
  <si>
    <t>Instrumente hemostatice. Pensă hemostatică tip Kocher-Ochsner, lungimea 240 mm (+/-5mm), cu branșe curbate, serate, dințat 1x2. Reutilizabil, material inox medical, nesteril, duritatea metalului în limitele 40-48 HRC confirmată prin certificat de la producător.</t>
  </si>
  <si>
    <t>Instrumente hemostatice Pensă tip MICRO-HALSTED ( 007754 )</t>
  </si>
  <si>
    <t>Instrumente hemostatice Pensă tip MICRO-HALSTED ( 007754 ), Pensă hemostatică tip MICRO-HALSTED, cu branșele curbate, serate, lungimea 125 mm (+/-10 mm), material inox medical, fara latex, duritatea metalului in limitele 40-48 HRC confirmata prin certificat de la producator., Bucată</t>
  </si>
  <si>
    <t>Instrumente hemostatice. Pensă hemostatică tip MICRO-HALSTED, cu branșele curbate, serate, lungimea 125 mm (+/-10 mm). Material inox medical, fara latex, duritatea metalului in limitele 40-48 HRC confirmata prin certificat de la producator.</t>
  </si>
  <si>
    <t>Instrumente hemostatice Pensă tip Mosquito, 125mm ( 007554 )</t>
  </si>
  <si>
    <t>Instrumente hemostatice Pensă tip Mosquito, 125mm ( 007554 ), Pensă de tip ”Mosquito” vertical încovoiat, vârf fin, lungime 125mm (+/-5mm).
*Reutilizabil, material inox medical., Bucată</t>
  </si>
  <si>
    <t>Instrumente hemostatice. Pensă de tip ”Mosquito” vertical încovoiat, vârf fin, lungime 125mm (+/-5mm).
*Reutilizabil, material inox medical.</t>
  </si>
  <si>
    <t>Instrumente hemostatice Pensă tip Mosquito, 150mm ( 007555 )</t>
  </si>
  <si>
    <t>Instrumente hemostatice Pensă tip Mosquito, încovoiat, 150mm ( 007555 )</t>
  </si>
  <si>
    <t>Instrumente hemostatice Pensă tip Mosquito, 150mm ( 007555 ), Pensă de tip ”Mosquito”, încovoiat pe plan, lungime 150mm(+/-5mm), vârf fin, 20x0,01mm.
*Reutilizabil, material inox medical., Bucată</t>
  </si>
  <si>
    <t>Instrumente hemostatice. Pensă de tip ”Mosquito”, încovoiat pe plan, lungime 150mm(+/-5mm), vârf fin, 20mm.
*Reutilizabil, material inox medical.</t>
  </si>
  <si>
    <t>Instrumente hemostatice Pensă tip PEAN ( 007572 )</t>
  </si>
  <si>
    <t>Instrumente hemostatice Pensă tip PEAN ( 007572 ), Pensa hemostatica PEAN, fină, 145-160mm curba cu clemariera. 
*Reutilizabil, material inox medical., Bucată</t>
  </si>
  <si>
    <t>Instrumente hemostatice. Pensa hemostatica PEAN, fină, 145-160mm curba cu clemariera. 
*Reutilizabil, material inox medical.</t>
  </si>
  <si>
    <t>Instrumente hemostatice Pensă tip RANKIN ( 007755 )</t>
  </si>
  <si>
    <t>Instrumente hemostatice Pensă tip RANKIN ( 007755 ), Pensă hemostatică tip RANKIN, cu branșele curbate, serate, lungimea 160 mm (+/-10 mm), material inox medical, fara latex, duritatea metalului in limitele 40-48 HRC confirmata prin certificat de la producator., Bucată</t>
  </si>
  <si>
    <t>Instrumente hemostatice. Pensă hemostatică tip RANKIN, cu branșele curbate, serate, lungimea 160 mm (+/-10 mm), material inox medical, fara latex, duritatea metalului in limitele 40-48 HRC confirmata prin certificat de la producator.</t>
  </si>
  <si>
    <t>Instrumente hemostatice Pensă tip Rochester-Ochsner  încovoiata 150mm. (Kocher) ( 007561 )</t>
  </si>
  <si>
    <t>Instrumente hemostatice Pensă tip Rochester-Ochsner  curbă 150mm. (Kocher) ( 007561 )</t>
  </si>
  <si>
    <t>Instrumente hemostatice Pensă tip Rochester-Ochsner  încovoiata 150mm. (Kocher) ( 007561 ), Pensă hemostatică Rochester-Ochsner 1x2 dinți , încovoiați lungime -150mm (+/-5mm) (Kocher).  
*Reutilizabil, material inox medical., Bucată</t>
  </si>
  <si>
    <t xml:space="preserve">Instrumente hemostatice. Pensă hemostatică Rochester-Ochsner 1x2 dinți, curbă, lungime -150mm (+/-5mm) (Kocher).
*Reutilizabil, material inox medical. </t>
  </si>
  <si>
    <t>Instrumente hemostatice Pensă tip Rochester-Ochsner curbă 200mm. (Kocher) ( 007562 )</t>
  </si>
  <si>
    <t>Instrumente hemostatice Pensă tip Rochester-Ochsner curbă 200mm. (Kocher) ( 007562 ), Pensă hemostatică Rochester-Ochsner 1x2 dinți , încovoiați lungime -200mm (+/-5mm) (Kocher).  
*Reutilizabil, material inox medical., Bucată</t>
  </si>
  <si>
    <t xml:space="preserve">Instrumente hemostatice. Pensă hemostatică Rochester-Ochsner 1x2 dinți, curbă, lungime -200mm (+/-5mm) (Kocher).
*Reutilizabil, material inox medical.  </t>
  </si>
  <si>
    <t>Instrumente hemostatice Pensă tip Rochester-Ochsner dreapta 200mm. (Kocher) ( 007563 )</t>
  </si>
  <si>
    <t>Instrumente hemostatice Pensă tip Rochester-Ochsner dreapta 200mm. (Kocher) ( 007563 ), Pensă hemostatică Rochester-Ochsner 1x2 dinți , drepți Nr 3 (200mm(+/-5mm)) Kocher,  55x0,5mm, cu clemieră
*Reutilizabil, material inox medical., Bucată</t>
  </si>
  <si>
    <t>Instrumente hemostatice. Pensă hemostatică Rochester-Ochsner 1x2 dinți , drepți Nr 3 (200mm(+/-5mm)) Kocher,  55x0,5mm, cu clemieră
*Reutilizabil, material inox medical.</t>
  </si>
  <si>
    <t>Instrumente hemostatice Pensă tip ROCHESTER-PEAN 160mm ( 007756 )</t>
  </si>
  <si>
    <t>Instrumente hemostatice Pensă tip ROCHESTER-PEAN 160mm ( 007756 ), Pensă hemostatică tip ROCHESTER-PEAN, cu branșele curbate, serate, lungimea 160 mm (+/-10 mm), material inox medical, fara latex, duritatea metalului in limitele 40-48 HRC confirmata prin certificat de la producator., Bucată</t>
  </si>
  <si>
    <t>Instrumente hemostatice. Pensă hemostatică tip ROCHESTER-PEAN, cu branșele curbate, serate, lungimea 160 mm (+/-10 mm).
Material inox medical, fara latex, duritatea metalului in limitele 40-48 HRC confirmata prin certificat de la producator.</t>
  </si>
  <si>
    <t>Instrumente hemostatice Pensă tip ROCHESTER-PEAN 200 mm ( 007549 )</t>
  </si>
  <si>
    <t>Instrumente hemostatice Pensă tip ROCHESTER-PEAN 200 mm ( 007549 ), Pensă hemostatică ROCHESTER-PEAN: pensa curba cu clemariera 200mm  (+/- 10 mm)
*Reutilizabil, material inox medical., Bucată</t>
  </si>
  <si>
    <t>Instrumente hemostatice. Pensă hemostatică ROCHESTER-PEAN: pensa curba cu clemariera 200mm  (+/- 10 mm)
*Reutilizabil, material inox medical.</t>
  </si>
  <si>
    <t>Instrumente hemostatice Pensă tip ROCHESTER-PEAN 260mm ( 007583 )</t>
  </si>
  <si>
    <t>Instrumente hemostatice Pensă tip ROCHESTER-PEAN 260mm ( 007583 ), Pensa tip ROCHESTER-PEAN , încovoiată 260mm (+/- 5 mm).
*Reutilizabil, material inox medical., Bucată</t>
  </si>
  <si>
    <t>Instrumente hemostatice. Pensa tip ROCHESTER-PEAN , încovoiată 260mm (+/- 5 mm).
*Reutilizabil, material inox medical.</t>
  </si>
  <si>
    <t>Instrumente hemostatice Pensă tip SATINSTRUKY, 150mm ( 007578 )</t>
  </si>
  <si>
    <t>Instrumente hemostatice Pensă tip SATINSTRUKY, 150mm ( 007578 ), Pesa SATINSTRUKY 150mm (+/- 5 mm).
*Reutilizabil, material inox medical., Bucată</t>
  </si>
  <si>
    <t>Instrumente hemostatice. Pensă SATINSTRUKY 150mm (+/- 5 mm).
*Reutilizabil, material inox medical.</t>
  </si>
  <si>
    <t>Instrumente hemostatice Pensă tip SATINSTRUKY, 205mm ( 007579 )</t>
  </si>
  <si>
    <t>Instrumente hemostatice Pensă tip SATINSTRUKY, 205mm ( 007579 ), Pesa SATINSTRUKY 205mm (+/- 5 mm).
*Reutilizabil, material inox medical., Bucată</t>
  </si>
  <si>
    <t>Instrumente hemostatice. Pesa SATINSTRUKY 205mm (+/- 5 mm).
*Reutilizabil, material inox medical.</t>
  </si>
  <si>
    <t>Instrumente laparoscopice Ac Veress ( 007441 )</t>
  </si>
  <si>
    <t>Instrumente laparoscopice Ac Veress ( 007441 ), Ac Veress L-13cm (+-1cm), Diametru 2.1mm (+-0.1mm), cu supapa, autoclavabil.
*Reutilizabil, material inox medical., Bucată</t>
  </si>
  <si>
    <t>Instrumente laparoscopice. Ac Veress L-13cm (+-1cm), Diametru 2.1mm (+-0.1mm), cu supapa, autoclavabil.
*Reutilizabil, material inox medical.</t>
  </si>
  <si>
    <t>Instrumente laparoscopice Canula  (port laparoscopic) de 5,5-6mm (100mm) ( 007628 )</t>
  </si>
  <si>
    <t>Instrumente laparoscopice Canula  (port laparoscopic) de 5,5-6mm (100mm) ( 007628 ), Canula  (port laparoscopic) de 5,5-6mm5,5-6mm diametru, 100±10mm  lungime de lucru,  cu conector robinet pentru INSTRUuflator, valvă multifuncțională, capăt distal oval oblic. 
*Reutilizabil, material inox medical., Bucată</t>
  </si>
  <si>
    <t>Instrumente laparoscopice. Canula  (port laparoscopic) de  5,5-6mm diametru, 100±10mm  lungime de lucru,  cu conector robinet pentru insuflator, valvă multifuncțională, capăt distal oval oblic. 
*Reutilizabil, material inox medical.</t>
  </si>
  <si>
    <t>Instrumente laparoscopice Canula  (port laparoscopic) de 5,5-6mm (150mm) ( 007626 )</t>
  </si>
  <si>
    <t>Instrumente laparoscopice Canula  (port laparoscopic) de 5,5-6mm (150mm) ( 007626 ), Canula  (port laparoscopic) de 5,5-6mm diametru, 150±10mm  lungime de lucru,  cu conector robinet pentru INSTRUuflator, valvă multifuncțională, capăt distal oval oblic. 
*Reutilizabil, material inox medical., Bucată</t>
  </si>
  <si>
    <t>Instrumente laparoscopice. Canula  (port laparoscopic) de 5,5-6mm diametru, 150±10mm  lungime de lucru,  cu conector robinet pentru insuflator, valvă multifuncțională, capăt distal oval oblic. 
*Reutilizabil, material inox medical.</t>
  </si>
  <si>
    <t>Instrumente laparoscopice Canula de 11mm,cu Insuflator (L-110mm) ( 007624 )</t>
  </si>
  <si>
    <t>Instrumente laparoscopice Canula de 11mm,cu Insuflator (L-110mm) ( 007624 ), Canula  (port laparoscopic) de 11 mm diametru, parte de lucru  110± 10mm,  cu conector robinet pentru insuflator, valvă multifuncțională, capăt distal oval oblic.
*Reutilizabil, material inox medical., Bucată</t>
  </si>
  <si>
    <t>Instrumente laparoscopice. Canula  (port laparoscopic) de 11 mm diametru, parte de lucru  110± 10mm,  cu conector robinet pentru insuflator, valvă multifuncțională, capăt distal oval oblic.
*Reutilizabil, material inox medical.</t>
  </si>
  <si>
    <t>Instrumente laparoscopice Canula de 11mm,cu insuflator (L-150mm) ( 007622 )</t>
  </si>
  <si>
    <t>Instrumente laparoscopice Canula de 11mm,cu insuflator (L-150mm) ( 007622 ), Canula  (port laparoscopic) de 11 mm diametru, parte de lucru  150± 10mm,  cu conector robinet pentru INSTRUuflator, valvă multifuncțională, capăt distal oval oblic.
*Reutilizabil, material inox medical., Bucată</t>
  </si>
  <si>
    <t>Instrumente laparoscopice. Canula  (port laparoscopic) de 11 mm diametru, parte de lucru  150± 10mm,  cu conector robinet pentru insuflator, valvă multifuncțională, capăt distal oval oblic.
*Reutilizabil, material inox medical.</t>
  </si>
  <si>
    <t>Instrumente laparoscopice Disector laparoscopic de tip Mariland monopolar, curbat 30% ( 007841 )</t>
  </si>
  <si>
    <r>
      <t>Instrumente laparoscopice Disector laparoscopic de tip Mariland monopolar, curbat 30</t>
    </r>
    <r>
      <rPr>
        <b/>
        <sz val="8"/>
        <rFont val="Calibri"/>
        <family val="2"/>
      </rPr>
      <t>°</t>
    </r>
    <r>
      <rPr>
        <b/>
        <sz val="8"/>
        <rFont val="Arial Narrow"/>
        <family val="2"/>
      </rPr>
      <t xml:space="preserve"> ( 007841 )</t>
    </r>
  </si>
  <si>
    <t>Instrumente laparoscopice Disector laparoscopic de tip Mariland monopolar, curbat 30% ( 007841 ), Disector laparoscopic curbat 30 % reutilizabil. Lungimea totală 300 - 400mm, Ligimea partea funcțională 15-18 mm,  pentru port 5mm., Bucată</t>
  </si>
  <si>
    <t>Instrumente laparoscopice Disector laparoscopic de tip Mariland monopolar. Disector laparoscopic curbat 30° reutilizabil. Lungimea totală 300 - 400mm, Ligimea partea funcțională 15-18 mm,  pentru port 5mm.</t>
  </si>
  <si>
    <t>Instrumente laparoscopice Disector laparoscopic Mariland monopolar,  curbat 90% ( 007842 )</t>
  </si>
  <si>
    <r>
      <t>Instrumente laparoscopice Disector laparoscopic Mariland monopolar,  curbat 90</t>
    </r>
    <r>
      <rPr>
        <b/>
        <sz val="8"/>
        <rFont val="Calibri"/>
        <family val="2"/>
      </rPr>
      <t>°</t>
    </r>
    <r>
      <rPr>
        <b/>
        <sz val="8"/>
        <rFont val="Arial Narrow"/>
        <family val="2"/>
      </rPr>
      <t xml:space="preserve"> ( 007842 )</t>
    </r>
  </si>
  <si>
    <t>Instrumente laparoscopice Disector laparoscopic Mariland monopolar,  curbat 90% ( 007842 ), Disector laparoscopic curbat 70 % reutilizabil. Lungimea totală 300 - 400mm, Ligimea partea funcțională 15-18 mm,  pentru port 5mm., Bucată</t>
  </si>
  <si>
    <t>Instrumente laparoscopice Disector laparoscopic Mariland monopolar,  curbat 90°, reutilizabil. Lungimea totală 300 - 400mm, Ligimea partea funcțională 15-18 mm,  pentru port 5mm.</t>
  </si>
  <si>
    <t>Instrumente laparoscopice Foarfecă Metzenbaun endoscopic, 400 mm ( 007508 )</t>
  </si>
  <si>
    <t>Instrumente laparoscopice Foarfecă Metzenbaun endoscopic, 400 mm ( 007508 ), Foarfece Metzenbaun endoscopic D-5mm ;  L-400± 30mm, lungime de lucru 15mm, curbat, deschidere cu acțiune dublă, cu serații transversale, cu vîrfuri bonte, rotungite, miner cu cremaliera , dezasamblabil, pentru uz multiplu.
*Reutilizabil, material inox medical., Bucată</t>
  </si>
  <si>
    <t>Instrumente laparoscopice. Foarfece Metzenbaun endoscopic D-5mm ;  L-400± 30mm, lungime de lucru 15-18mm, curbat, deschidere cu acțiune dublă, cu serații transversale, cu vîrfuri bonte, rotungite, miner cu cremaliera , dezasamblabil,pentru uz multiplu.
*Reutilizabil, material inox medical.</t>
  </si>
  <si>
    <t>Instrumente laparoscopice Împingător de nod extern ( 007522 )</t>
  </si>
  <si>
    <t>Instrumente laparoscopice Împingător de nod extern ( 007522 ), Împingător de nod extern: L-310mm (+/-10 mm),D-5mm. 
*Reutilizabil, material inox medical., Bucată</t>
  </si>
  <si>
    <t>Instrumente laparoscopice. Împingător de nod extern: L-310mm (+/-10 mm),D-5mm. 
*Reutilizabil, material inox medical.</t>
  </si>
  <si>
    <t>Instrumente laparoscopice Pensa laparoscopică monopolară tip DeBakey ( 007898 )</t>
  </si>
  <si>
    <t>Instrumente laparoscopice Pensa laparoscopică monopolară tip DeBakey ( 007898 ), Pensa laparoscopică monopolară DeBakey 5 mm, 360 mm (+/-10mm), Bucată</t>
  </si>
  <si>
    <t>Instrumente laparoscopice. Pensa laparoscopică monopolară DeBakey 5 mm, 360 mm (+/-10mm).</t>
  </si>
  <si>
    <t>Instrumente laparoscopice Pensa laparoscopică monopolară tip Maryland ( 007899 )</t>
  </si>
  <si>
    <t>Instrumente laparoscopice Pensa laparoscopică monopolară tip Maryland ( 007899 ), Pensa laparoscopică monopolară Maryland 5 mm, 360 mm (+/-10mm), Bucată</t>
  </si>
  <si>
    <t>Instrumente laparoscopice. Pensa laparoscopică monopolară Maryland 5 mm, 360 mm (+/-10mm).</t>
  </si>
  <si>
    <t>Instrumente laparoscopice Reducer laparoscopic ( 007925 )</t>
  </si>
  <si>
    <t>Instrumente laparoscopice Reducer laparoscopic ( 007925 ), Reducer laparoscopic de la 10mm la 5 mm, Bucată</t>
  </si>
  <si>
    <t>Instrumente laparoscopice. Reducer laparoscopic de la 10mm la 5 mm.</t>
  </si>
  <si>
    <t>Instrumente laparoscopice Trocar pentru canulă 11mm  (100mm) ( 007625 )</t>
  </si>
  <si>
    <t>Instrumente laparoscopice Trocar pentru canulă 11mm  (100mm) ( 007625 ), Trocar pentru canulă 11mm, 100± 10mm lungime ce lucru, cu vârf conic, 
*Reutilizabil, material inox medical., Bucată</t>
  </si>
  <si>
    <t>Instrumente laparoscopice. Trocar pentru canulă 11mm, 100± 10mm lungime ce lucru, cu vârf conic.
*Reutilizabil, material inox medical.</t>
  </si>
  <si>
    <t>Instrumente laparoscopice Trocar pentru canulă 11mm  (150mm) ( 007623 )</t>
  </si>
  <si>
    <t>Instrumente laparoscopice Trocar pentru canulă 11mm  (150mm) ( 007623 ), Trocar pentru canulă 11mm, 150± 10mm lungime ce lucru, cu vîrf conic.*Reutilizabil, material inox medical., Bucată</t>
  </si>
  <si>
    <t>Instrumente laparoscopice. Trocar pentru canulă 11mm, 150± 10mm lungime ce lucru, cu vîrf conic.
*Reutilizabil, material inox medical.</t>
  </si>
  <si>
    <t>Instrumente laparoscopice Trocar pentru canulă 5,5-6mm  (100mm) ( 007629 )</t>
  </si>
  <si>
    <t>Instrumente laparoscopice Trocar pentru canulă 5,5-6mm  (100mm) ( 007629 ), Trocar pentru canulă 5,5-6mm, 100± 10mm lungime de lucru, cu vârf conic, material inox medical, reutilizabil, 
*Reutilizabil, material inox medical., Bucată</t>
  </si>
  <si>
    <t>Instrumente laparoscopice. Trocar pentru canulă 5,5-6mm, 100± 10mm lungime de lucru, cu vârf conic, material inox medical, reutilizabil.</t>
  </si>
  <si>
    <t>Instrumente laparoscopice Trocar pentru canulă 5,5-6mm  (150mm) ( 007627 )</t>
  </si>
  <si>
    <t>Instrumente laparoscopice Trocar pentru canulă 5,5-6mm  (150mm) ( 007627 ), Trocar pentru canulă 5,5-6mm, 150± 10mm lungime de lucru, cu vîrf conic,
*Reutilizabil, material inox medical., Bucată</t>
  </si>
  <si>
    <t>Instrumente laparoscopice. Trocar pentru canulă 5,5-6mm, 150± 10mm lungime de lucru, cu vîrf conic. 
*Reutilizabil, material inox medical.</t>
  </si>
  <si>
    <t>Instrumente medicale pentru îndepîrtarea pansamentelor și gipsului Foarfecă Lister 11 cm ( 007863 )</t>
  </si>
  <si>
    <t>Instrumente medicale pentru îndepîrtarea pansamentelor și gipsului Foarfecă Lister 11 cm ( 007863 ),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Bucată</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</si>
  <si>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t>
  </si>
  <si>
    <t>Instrumente medicale pentru îndepîrtarea pansamentelor și gipsului Foarfecă Lister 14 cm ( 007864 )</t>
  </si>
  <si>
    <t>Instrumente medicale pentru îndepîrtarea pansamentelor și gipsului Foarfecă Lister 14 cm ( 007864 ),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Bucată</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</si>
  <si>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t>
  </si>
  <si>
    <t>Instrumente medicale pentru îndepîrtarea pansamentelor și gipsului Foarfecă Lister 18 cm ( 007865 )</t>
  </si>
  <si>
    <t>Instrumente medicale pentru îndepîrtarea pansamentelor și gipsului Foarfecă Lister 18 cm ( 007865 ), 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 Bucată</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</si>
  <si>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t>
  </si>
  <si>
    <t>Instrumente medicale pentru îndepîrtarea pansamentelor și gipsului Foarfecă Lister 20 cm ( 007866 )</t>
  </si>
  <si>
    <t>Instrumente medicale pentru îndepîrtarea pansamentelor și gipsului Foarfecă Lister 20 cm ( 007866 ), Foarfeca pansamente Lister pentru pansamente si pentru indepartarea bandajelor. Utilizate pentru a tăia material mai dur, cum ar fi gipsul. Lamele foarfecelor de bandaj Lister sunt inclinate cu lama inferioara putin mai lunga.
Specificatii:
Material: otel inox 
Lungime 20,0 cm
Produs nesteril la livrare
Produs reutilizabil dupa curatare, dezinfectie si sterilizare., Bucată</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</si>
  <si>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Lungime 20,0 cm
</t>
  </si>
  <si>
    <t>Instrumente medicale pentru îndepîrtarea pansamentelor și gipsului Foarfecă Lister 9 cm ( 007862 )</t>
  </si>
  <si>
    <t>Instrumente medicale pentru îndepîrtarea pansamentelor și gipsului Foarfecă Lister 9 cm ( 007862 ),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 Bucată</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</si>
  <si>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</si>
  <si>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medicale pentru îndepîrtarea pansamentelor și gipsului Foarfecă pentru îndepărtarea gipsului ( 007871 )</t>
  </si>
  <si>
    <t>Instrumente medicale pentru îndepîrtarea pansamentelor și gipsului Foarfecă pentru îndepărtarea gipsului ( 007871 ), Foarfece pentru îndepărtarea gipsului cu buton, curbată orizontal, lungimea 18cm  (+/- 10 mm), material otel inoxidabil.(Referință: JO-21-122 sau produs alternativ), Bucată</t>
  </si>
  <si>
    <t>Instrumente medicale pentru îndepîrtarea pansamentelor și gipsului. Foarfece pentru îndepărtarea gipsului cu buton, curbată orizontal, lungimea 18cm  (+/- 10 mm), material otel inoxidabil.(Referință: JO-21-122 sau produs alternativ).</t>
  </si>
  <si>
    <t>Instrumente pentru albituri Pensă cu cremaliera p/u albituri (Backhaus) ( 007550 )</t>
  </si>
  <si>
    <t>Instrumente pentru albituri Pensă cu cremaliera p/u albituri (Backhaus) ( 007550 ), Pensă cu cremaliera p/u albituri 150mm (+/-5mm), (Backhaus).
*Reutilizabil, material inox medical., Bucată</t>
  </si>
  <si>
    <t>Instrumente pentru albituri. Pensă cu cremaliera p/u albituri 150mm (+/-5mm), (Backhaus).
*Reutilizabil, material inox medical.</t>
  </si>
  <si>
    <t>Instrumente pentru anestezie și intubație Pensa tip Magill ( 007901 )</t>
  </si>
  <si>
    <t>Instrumente pentru anestezie și intubație Pensa tip Magill ( 007901 ), Pensa Magill Adult, din inox, utilizata in intubatia traheala., Bucată</t>
  </si>
  <si>
    <t>Instrumente pentru anestezie și intubație. Pensa Magill Adult, din inox, utilizata in intubatia traheala.</t>
  </si>
  <si>
    <t>Instrumente pentru aspirație și irigare Canula pentru aspirație Adson  F 12 ( 007450 )</t>
  </si>
  <si>
    <t>Instrumente pentru aspirație și irigare Canula pentru aspirație Adson  F 12 ( 007450 ), Canula pentru aspirație Adson  -la vârf puțin curbă, Fr12 ( Ø4mm), lungime 210mm (+/- 5 mm). 
*Reutilizabil, material inox medical., Bucată</t>
  </si>
  <si>
    <t>Instrumente pentru aspirație și irigare. Canula pentru aspirație Adson  -la vârf puțin curbă, Fr12 ( Ø4mm), lungime 210mm (+/- 5 mm). 
*Reutilizabil, material inox medical.</t>
  </si>
  <si>
    <t>Instrumente pentru aspirație și irigare Canula pentru aspirație Adson  F 15 ( 007451 )</t>
  </si>
  <si>
    <t>Instrumente pentru aspirație și irigare Canula pentru aspirație Adson  F 15 ( 007451 ), Canula pentru aspirație Adson  -la vârf puțin curbă, Fr15 (Ø5mm), lungime 210mm (+/- 5 mm). 
*Reutilizabil, material inox medical., Bucată</t>
  </si>
  <si>
    <t>Instrumente pentru aspirație și irigare. Canula pentru aspirație Adson  -la vârf puțin curbă, Fr15 (Ø5mm), lungime 210mm (+/- 5 mm). 
*Reutilizabil, material inox medical.</t>
  </si>
  <si>
    <t>Instrumente pentru aspirație și irigare Canula pentru aspirație FRAZIER - curbă, Ø1,5mm ( 007452 )</t>
  </si>
  <si>
    <t>Instrumente pentru aspirație și irigare Canula pentru aspirație FRAZIER - curbă, Ø1,5mm ( 007452 ), Canula pentru aspirație FRAZIER - curbă, Ø1,5mm (±0.1mm), lungimea de lucru 9-11cm. 
*Reutilizabil, material inox medical., Bucată</t>
  </si>
  <si>
    <t>Instrumente pentru aspirație și irigare. Canula pentru aspirație FRAZIER - curbă, Ø1,5mm (±0.1mm), lungimea de lucru 9-11cm. 
*Reutilizabil, material inox medical.</t>
  </si>
  <si>
    <t>Instrumente pentru aspirație și irigare Canula pentru aspirație FRAZIER - curbă, Ø3mm ( 007454 )</t>
  </si>
  <si>
    <t>Instrumente pentru aspirație și irigare Canula pentru aspirație FRAZIER - curbă, Ø3mm ( 007454 ), Canula pentru aspirație FRAZIER - curbă, Ø3mm (±0.2mm), lungimea de lucru 9-11cm. 
*Reutilizabil, material inox medical., Bucată</t>
  </si>
  <si>
    <t xml:space="preserve">Instrumente pentru aspirație și irigare. Canula pentru aspirație FRAZIER - curbă, Ø3mm (±0.2mm), lungimea de lucru 9-11cm.
*Reutilizabil, material inox medical. </t>
  </si>
  <si>
    <t>Instrumente pentru aspirație și irigare Canula pentru aspirație FRAZIER - curbă, Ø4mm ( 007455 )</t>
  </si>
  <si>
    <t>Instrumente pentru aspirație și irigare Canula pentru aspirație FRAZIER - curbă, Ø4mm ( 007455 ), Canula pentru aspirație FRAZIER - curbă, Ø4mm (±0.3mm), lungimea de lucru 9-11cm. 
*Reutilizabil, material inox medical., Bucată</t>
  </si>
  <si>
    <t xml:space="preserve">Instrumente pentru aspirație și irigare. Canula pentru aspirație FRAZIER - curbă, Ø4mm (±0.3mm), lungimea de lucru 9-11cm.
*Reutilizabil, material inox medical. </t>
  </si>
  <si>
    <t>Instrumente pentru aspirație și irigare Canula pentru aspirație FRAZIER - curbă, Ø5mm ( 007456 )</t>
  </si>
  <si>
    <t>Instrumente pentru aspirație și irigare Canula pentru aspirație FRAZIER - curbă, Ø5mm ( 007456 ), Canula pentru aspirație FRAZIER - curbă, Ø5mm (±0.3mm), lungimea de lucru 9-11cm. 
*Reutilizabil, material inox medical., Bucată</t>
  </si>
  <si>
    <t xml:space="preserve">Instrumente pentru aspirație și irigare. Canula pentru aspirație FRAZIER - curbă, Ø5mm (±0.3mm), lungimea de lucru 9-11cm.
*Reutilizabil, material inox medical. </t>
  </si>
  <si>
    <t>Instrumente pentru chirurgia abdominală Foarfecă intestinal tip Barnard ( 007861 )</t>
  </si>
  <si>
    <t>Instrumente pentru chirurgia abdominală Foarfecă intestinal tip Barnard ( 007861 ), Foarfece Barnard pentru intestine, vârf bontat, drept, lungime 100 mm  ±5mm. ( Cod referinta DDP-PM/156 sau analog), Bucată</t>
  </si>
  <si>
    <t>Instrumente pentru chirurgia abdominală. Foarfece Barnard pentru intestine, vârf bontat, drept, lungime 100 mm  ±5mm. ( Cod referinta DDP-PM/156 sau analog).</t>
  </si>
  <si>
    <t>Instrumente pentru chirurgia biliară Dilatator Bakes bile-duct 3mm ( 007674 )</t>
  </si>
  <si>
    <t>Instrumente pentru chirurgia biliară Dilatator Bakes bile-duct 3mm ( 007674 ), Dilatator Bakes bile-duct 3 mm,Dilatator pentru conducte biliare BAKES, maleabil, 315 mm (±10mm), (12 3/8"), lungime de lucru: 265 mm (±10mm), Ø 3 mm (Ref.: EB063R sau analog), Bucată</t>
  </si>
  <si>
    <t>Instrumente pentru chirurgia biliară. Dilatator Bakes bile-duct 3 mm,Dilatator pentru conducte biliare BAKES, maleabil, 315 mm (±10mm), (12 3/8"), lungime de lucru: 265 mm (±10mm), Ø 3 mm (Ref.: EB063R sau analog).</t>
  </si>
  <si>
    <t>Instrumente pentru chirurgia biliară Dilatator Bakes bile-duct 4mm ( 007675 )</t>
  </si>
  <si>
    <t>Instrumente pentru chirurgia biliară Dilatator Bakes bile-duct 4mm ( 007675 ), Dilatator Bakes bile-duct 4 mm,Dilatator pentru conducte biliare BAKES, maleabil, 315 mm (±10mm), (12 3/8"), lungime de lucru: 265 mm (±10mm), Ø 4 mm (Ref.: EB064R sau analog), Bucată</t>
  </si>
  <si>
    <t>Instrumente pentru chirurgia biliară. Dilatator Bakes bile-duct 4 mm,Dilatator pentru conducte biliare BAKES, maleabil, 315 mm (±10mm), (12 3/8"), lungime de lucru: 265 mm (±10mm), Ø 4 mm (Ref.: EB064R sau analog).</t>
  </si>
  <si>
    <t>Instrumente pentru chirurgia biliară Dilatator Bakes bile-duct 5mm ( 007676 )</t>
  </si>
  <si>
    <t>Instrumente pentru chirurgia biliară Dilatator Bakes bile-duct 5mm ( 007676 ), Dilatator Bakes bile-duct 5 mm,Dilatator pentru conducte biliare BAKES, maleabil, 315 mm (±10mm), (12 3/8"), lungime de lucru: 265 mm (±10mm), Ø 5 mm (Ref.: EB065R sau analog), Bucată</t>
  </si>
  <si>
    <t>Instrumente pentru chirurgia biliară.Dilatator pentru conducte biliare BAKES, maleabil, 315 mm (±10mm), (12 3/8"), lungime de lucru: 265 mm (±10mm), Ø 5 mm (Ref.: EB065R sau analog).</t>
  </si>
  <si>
    <t>Instrumente pentru chirurgia biliară Dilatator Bakes bile-duct 6mm ( 007677 )</t>
  </si>
  <si>
    <t>Instrumente pentru chirurgia biliară Dilatator Bakes bile-duct 6mm ( 007677 ), Dilatator Bakes bile-duct 6 mm,Dilatator pentru conducte biliare BAKES, maleabil, 315 mm (±10mm), (12 3/8"), lungime de lucru: 265 mm(±10mm), Ø 6 mm (Ref.: EB066R sau analog), Bucată</t>
  </si>
  <si>
    <t>Instrumente pentru chirurgia biliară. Dilatator Bakes bile-duct 6 mm,Dilatator pentru conducte biliare BAKES, maleabil, 315 mm (±10mm), (12 3/8"), lungime de lucru: 265 mm(±10mm), Ø 6 mm (Ref.: EB066R sau analog).</t>
  </si>
  <si>
    <t>Instrumente pentru chirurgia biliară Dilatator Bakes bile-duct 7mm ( 007678 )</t>
  </si>
  <si>
    <t>Instrumente pentru chirurgia biliară Dilatator Bakes bile-duct 7mm ( 007678 ), Dilatator Bakes bile-duct 7 mm,Dilatator pentru conducte biliare BAKES, maleabil, 315 mm (±10mm), (12 3/8"), lungime de lucru: 265 mm (±10mm), Ø 7 mm (Ref.: EB067R sau analog), Bucată</t>
  </si>
  <si>
    <t>Instrumente pentru chirurgia biliară. Dilatator pentru conducte biliare BAKES, maleabil, 315 mm (±10mm), (12 3/8"), lungime de lucru: 265 mm (±10mm), Ø 7 mm (Ref.: EB067R sau analog).</t>
  </si>
  <si>
    <t>Instrumente pentru chirurgia cardiovasculară Clamă vasculară atraumatică tip DERRA  DE BAKEY ( 007647 )</t>
  </si>
  <si>
    <t>Instrumente pentru chirurgia cardiovasculară Clamă vasculară atraumatică tip DERRA  DE BAKEY ( 007647 ), Clamă vasculară atraumatică tip DERRA  DE BAKEY CURBATĂ, MODEL PEDIATRIC, lungimea branșelor 26 mm (+/- 1 mm), lungimea clamei - 175 mm (+/- 5 mm) material inox medical, fara latex, duritatea metalului in limitele 40-48 HRC confirmata prin certificat de la producator., Bucată</t>
  </si>
  <si>
    <t>Instrumente pentru chirurgia cardiovasculară. 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</si>
  <si>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Clamă vasculară tip MULLER, 250g ( 007648 )</t>
  </si>
  <si>
    <t>Instrumente pentru chirurgia cardiovasculară Clamă vasculară tip MULLER, 250g ( 007648 ), Clamă vasculară tip MULLER, ușor curbată, presiunea de inchidere minim 250g (+/-10g) material inox medical, duritatea metalului in limitele 40-48 HRC confirmata prin certificat de la producator., Bucată</t>
  </si>
  <si>
    <t>Instrumente pentru chirurgia cardiovasculară. Clamă vasculară tip MULLER, ușor curbată, presiunea de inchidere minim 250g (+/-10g). 
Material inox medical, duritatea metalului in limitele 40-48 HRC confirmata prin certificat de la producator.</t>
  </si>
  <si>
    <t>Instrumente pentru chirurgia cardiovasculară Clamă vasculară tip MULLER, 250g angulară ( 007649 )</t>
  </si>
  <si>
    <t>Instrumente pentru chirurgia cardiovasculară Clamă vasculară tip MULLER, 250g angulară ( 007649 ), Clamă vasculară tip MULLER, angulară, presiunea de inchidere minim 250 g (+/-10g) material inox medical, duritatea metalului in limitele 40-48 HRC confirmata prin certificat de la producator., Bucată</t>
  </si>
  <si>
    <t>Instrumente pentru chirurgia cardiovasculară. Clamă vasculară tip MULLER, angulară, presiunea de inchidere minim 250 g (+/-10g). 
Material inox medical, duritatea metalului in limitele 40-48 HRC confirmata prin certificat de la producator.</t>
  </si>
  <si>
    <t>Instrumente pentru chirurgia cardiovasculară Clamă vasculară tip MULLER, 350g angulară ( 007650 )</t>
  </si>
  <si>
    <t>Instrumente pentru chirurgia cardiovasculară Clamă vasculară tip MULLER, 350g angulară ( 007650 ), Clamă vasculară tip MULLER, angulară, presiunea de inchidere minim 350 g (+/-10g) material inox medical, duritatea metalului in limitele 40-48 HRC confirmata prin certificat de la producator., Bucată</t>
  </si>
  <si>
    <t>Instrumente pentru chirurgia cardiovasculară. Clamă vasculară tip MULLER, angulară, presiunea de inchidere minim 350 g (+/-10g). 
Material inox medical, duritatea metalului in limitele 40-48 HRC confirmata prin certificat de la producator.</t>
  </si>
  <si>
    <t>Instrumente pentru chirurgia cardiovasculară Clamă vasculară tip MULLER,350g ( 007651 )</t>
  </si>
  <si>
    <t>Instrumente pentru chirurgia cardiovasculară Clamă vasculară tip MULLER,350g ( 007651 ), Clamă vasculară tip MULLER, ușor curbată, presiunea de inchidere minim 350 g (+/-10g) material inox medical, duritatea metalului in limitele 40-48 HRC confirmata prin certificat de la producator., Bucată</t>
  </si>
  <si>
    <t>Instrumente pentru chirurgia cardiovasculară. Clamă vasculară tip MULLER, ușor curbată, presiunea de inchidere minim 350 g (+/-10g). 
Material inox medical, duritatea metalului in limitele 40-48 HRC confirmata prin certificat de la producator.</t>
  </si>
  <si>
    <t>Instrumente pentru chirurgia cardiovasculară Clamp Aortic CHITWOOD transtoracic ( 007652 )</t>
  </si>
  <si>
    <t>Instrumente pentru chirurgia cardiovasculară Clamp Aortic CHITWOOD transtoracic ( 007652 ), Clamp Aortic transtoracic, intercostal tip CHITWOOD DeBekey cu branse curbate pentru interventii cardiace minim-invazive. Lungimea branselor: 60mm (+/-5mm) Lungimea INSTRUtrumentului 320mm (+/-30mm).  (Echivalent codului de referinta:  FC296R Aesculap, DC80996-32 Delacroix), Bucată</t>
  </si>
  <si>
    <t>Instrumente pentru chirurgia cardiovasculară. Clamp Aortic transtoracic, intercostal tip CHITWOOD DeBekey cu branse curbate pentru interventii cardiace minim-invazive. Lungimea branselor: 60mm (+/-5mm) Lungimea instrumentului 320mm (+/-30mm).  (Echivalent codului de referinta:  FC296R Aesculap, DC80996-32 Delacroix).</t>
  </si>
  <si>
    <t>Instrumente pentru chirurgia cardiovasculară Clamp aortic DeBakey pentru clampare parietala ( 007655 )</t>
  </si>
  <si>
    <t>Instrumente pentru chirurgia cardiovasculară Clamp aortic DeBakey pentru clampare parietala ( 007655 ), Clamp aortic parietal DeBekey cu bransele curbate, distanta dintre branse pentru perimetru de prindere a aortei este de 40mm (+/-5mm) bransele tip DeBekey atraumatice, lungimea isntrumentului:250mm (+/-5mm) (Echivalent codului de referinta: FB491R, Delacroix DC40460-25), Bucată</t>
  </si>
  <si>
    <t>Instrumente pentru chirurgia cardiovasculară. Clamp aortic parietal DeBekey cu bransele curbate, distanta dintre branse pentru perimetru de prindere a aortei este de 40mm (+/-5mm) bransele tip DeBekey atraumatice, lungimea isntrumentului:250mm (+/-5mm) (Echivalent codului de referinta: FB491R, Delacroix DC40460-25).</t>
  </si>
  <si>
    <t>Instrumente pentru chirurgia cardiovasculară Clamp aortic DeBakey pentru clampare totala ( 007656 )</t>
  </si>
  <si>
    <t>Instrumente pentru chirurgia cardiovasculară Clamp aortic DeBakey pentru clampare totala ( 007656 ), Clamp  atraumatic vascular (aortic) tip De Bakey, bransele curbate la 70grade, fiind destinate clamparii totale a aortei,  lungimea  instrumentului 250mm (+/-20mm)
Reutilizabil, material inox medical, nesteril.(Echivalent codului de referinta: Aesculap FB494R , DC40257-27 Delacroix ), Bucată</t>
  </si>
  <si>
    <t xml:space="preserve">Instrumente pentru chirurgia cardiovasculară. Clamp  atraumatic vascular (aortic) tip De Bakey, bransele curbate la 70grade, fiind destinate clamparii totale a aortei,  lungimea  instrumentului 250mm (+/-20mm). 
Reutilizabil, material inox medical, nesteril.
(Echivalent codului de referinta: Aesculap FB494R , DC40257-27 Delacroix).
</t>
  </si>
  <si>
    <t>Instrumente pentru chirurgia cardiovasculară Clamp aortic DeBakey-Beck ( 007653 )</t>
  </si>
  <si>
    <t>Instrumente pentru chirurgia cardiovasculară Clamp aortic DeBakey-Beck ( 007653 ), Clamp vascular atraumatic - Clamp aortic DeBakey-Beck,  Lungimea instrumentului 170 mm (+/-5cm),(Asemanator codului de referinta Geister 22-0480), Bucată</t>
  </si>
  <si>
    <t>Instrumente pentru chirurgia cardiovasculară. Clamp vascular atraumatic - Clamp aortic DeBakey-Beck,  Lungimea instrumentului 170 mm (+/-5cm). (Asemanator codului de referinta Geister 22-0480).</t>
  </si>
  <si>
    <t>Instrumente pentru chirurgia cardiovasculară Clamp DeBakey pentru ligatura vaselor mari (cava inferioara) ( 007659 )</t>
  </si>
  <si>
    <t>Instrumente pentru chirurgia cardiovasculară Clamp DeBakey pentru ligatura vaselor mari (cava inferioara) ( 007659 ),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 Bucată</t>
  </si>
  <si>
    <t>Instrumente pentru chirurgia cardiovasculară.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t>
  </si>
  <si>
    <t>Instrumente pentru chirurgia cardiovasculară Clamp DeBakey pentru ligatura vaselor mari (venele pulmonare) ( 007660 )</t>
  </si>
  <si>
    <t>Instrumente pentru chirurgia cardiovasculară Clamp DeBakey pentru ligatura vaselor mari (venele pulmonare) ( 007660 ), Clamp DeBakey pentru ligatura vaselor mari, bransele curbate, serate cu DeBakey pe parcurs a 20mm din totalul bransei de prindere. Curbura adaptabila pentru trecerea venelor pulmonare. Lungimea instrumentului: 245mm (+/- 10mm). (Echivalent codului de referinta: DC40270-23, FC329 Aesculap)., Bucată</t>
  </si>
  <si>
    <t>Instrumente pentru chirurgia cardiovasculară. Clamp DeBakey pentru ligatura vaselor mari, bransele curbate, serate cu DeBakey pe parcurs a 20mm din totalul bransei de prindere. Curbura adaptabila pentru trecerea venelor pulmonare. Lungimea instrumentului: 245mm (+/- 10mm). (Echivalent codului de referinta: DC40270-23, FC329 Aesculap).</t>
  </si>
  <si>
    <t>Instrumente pentru chirurgia cardiovasculară Clamp vascular atraumatic tip Glover ( 007664 )</t>
  </si>
  <si>
    <t>Instrumente pentru chirurgia cardiovasculară Clamp vascular atraumatic tip Glover ( 007664 ), Clamp vascular atraumatic tip Glover pentru coarctație și  clamparea ductului arterial permeabil, cu branșe angulate, Lungimea instrumentului 205 mm (+/-5cm),(Asemanator codului de referinta Geister 22-0120.GB), Bucată</t>
  </si>
  <si>
    <t>Instrumente pentru chirurgia cardiovasculară. Clamp vascular atraumatic tip Glover pentru coarctație și  clamparea ductului arterial permeabil, cu branșe angulate, Lungimea instrumentului 205 mm (+/-5cm). (Asemanator codului de referinta Geister 22-0120.GB).</t>
  </si>
  <si>
    <t>Instrumente pentru chirurgia cardiovasculară Foarfecă Potts-Smith 180mm ( 007513 )</t>
  </si>
  <si>
    <t>Instrumente pentru chirurgia cardiovasculară Foarfecă Potts-Smith 180mm ( 007513 ),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 Bucată</t>
  </si>
  <si>
    <t>Instrumente pentru chirurgia cardiovasculară.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</si>
  <si>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Foarfecă tip DeBekey pentru arteriotomie și disectie ( 007697 )</t>
  </si>
  <si>
    <t>Instrumente pentru chirurgia cardiovasculară Foarfecă tip DeBekey pentru arteriotomie și disectie ( 007697 ), 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 Bucată</t>
  </si>
  <si>
    <t>Instrumente pentru chirurgia cardiovasculară. 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t>
  </si>
  <si>
    <t>Instrumente pentru chirurgia cardiovasculară Pensă vasculară atraumatică  tip DE BAKEY  lung. 240mm, 2,0mm ( 007761 )</t>
  </si>
  <si>
    <t>Instrumente pentru chirurgia cardiovasculară Pensă vasculară atraumatică  tip DE BAKEY  lung. 240mm, 2,0mm ( 007761 ), Pensa vascualra tip DeBekey atraumatica.  Lungimea instrumentului 240mm (+/-10mm). Bransele drepte. Latimea branselor de 2,0mm, fine, pentru prindere fiabila. (Echivalent codului de referinta FB404R Aseculap, C10025 Landanger), Bucată</t>
  </si>
  <si>
    <t>Instrumente pentru chirurgia cardiovasculară. Pensa vascualra tip DeBekey atraumatica.  Lungimea instrumentului 240mm (+/-10mm). Bransele drepte. Latimea branselor de 2,0mm, fine, pentru prindere fiabila. (Echivalent codului de referinta FB404R Aseculap, C10025 Landanger).</t>
  </si>
  <si>
    <t>Instrumente pentru chirurgia cardiovasculară Pensă vasculară atraumatică  tip DE BAKEY lung. 240mm, 2,8mm ( 007762 )</t>
  </si>
  <si>
    <t>Instrumente pentru chirurgia cardiovasculară Pensă vasculară atraumatică  tip DE BAKEY lung. 240mm, 2,8mm ( 007762 ), Pensa vascualra tip DeBekey atraumatica.  Lungimea instrumentului 240mm (+/-10mm). Bransele drepte. Latimea branselor de 2,7-2,8 mm, fine, pentru prindere fiabila. (Echivalent codului de referinta FB416R Aseculap, C10043 Landanger), Bucată</t>
  </si>
  <si>
    <t>Instrumente pentru chirurgia cardiovasculară. Pensa vascualra tip DeBekey atraumatica.  Lungimea instrumentului 240mm (+/-10mm). Bransele drepte. Latimea branselor de 2,7-2,8 mm, fine, pentru prindere fiabila. (Echivalent codului de referinta FB416R Aseculap, C10043 Landanger).</t>
  </si>
  <si>
    <t>Instrumente pentru chirurgia cardiovasculară Pensă vasculară atraumatică  tip DE BAKEY, lung.200 mm, 3,5mm ( 007584 )</t>
  </si>
  <si>
    <t>Instrumente pentru chirurgia cardiovasculară Pensă vasculară atraumatică  tip DE BAKEY, lung.200 mm, 3,5mm ( 007584 ), Pensă vasculară atraumatică tip DE BAKEY, lungime 200 mm (+/-5mm), branșe drepte dințate de tip DE BAKEY (cu canelura), 3,5 mm. 
Reutilizabil, material inox medical, nesteril, duritatea metalului în limitele 40-48 HRC confirmată prin certificat de la producător., Bucată</t>
  </si>
  <si>
    <t>Instrumente pentru chirurgia cardiovasculară. Pensă vasculară atraumatică tip DE BAKEY, lungime 200 mm (+/-5mm), branșe drepte dințate de tip DE BAKEY (cu canelura), 3,5 mm. 
Reutilizabil, material inox medical, nesteril, duritatea metalului în limitele 40-48 HRC confirmată prin certificat de la producător.</t>
  </si>
  <si>
    <t>Instrumente pentru chirurgia cardiovasculară Pensă vasculară atraumatică tip DE BAKEY, lung.200 mm, 1,5mm ( 007588 )</t>
  </si>
  <si>
    <t>Instrumente pentru chirurgia cardiovasculară Pensă vasculară atraumatică tip DE BAKEY, lung.200 mm, 1,5mm ( 007588 ), Pensă vasculară atraumatică tip DE BAKEY, lungime 200 mm (+/-5mm), tip ultralight, branșe drepte dințate de tip DE BAKEY (cu canelura) 1,5 mm. Reutilizabil, material inox medical, nesteril, duritatea metalului în limitele 40-48 HRC confirmată prin certificat de la producător., Bucată</t>
  </si>
  <si>
    <t>Instrumente pentru chirurgia cardiovasculară. Pensă vasculară atraumatică tip DE BAKEY, lungime 200 mm (+/-5mm), tip ultralight, branșe drepte dințate de tip DE BAKEY (cu canelura) 1,5 mm.
 Reutilizabil, material inox medical, nesteril, duritatea metalului în limitele 40-48 HRC confirmată prin certificat de la producător.</t>
  </si>
  <si>
    <t>Instrumente pentru chirurgia cardiovasculară Venoextractor Nabatoff ( 007633 )</t>
  </si>
  <si>
    <t>Instrumente pentru chirurgia cardiovasculară Venoextractor Nabatoff ( 007633 ), Set venextractor Nabatoff, ușor flexibil, mâner detasabil, oliva nativă 2,0-2,5mm, suplimentar olive de 9mm, 12mm si 15mm, în cutie pentru pîstrare, autoclavabil.
*Reutilizabil, material inox medical., Bucată</t>
  </si>
  <si>
    <t>Instrumente pentru chirurgia cardiovasculară. 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</si>
  <si>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 140mm ( 007638 )</t>
  </si>
  <si>
    <t>Instrumente pentru chirurgia ortopedică și osteotomică Bone Nibbling Rongeur (muscator de os), 140mm ( 007638 ), Taietor de os 2 mm x 3mm bite (partea de lucru), lungimea totala 140 mm (+/-10mm). Reutilizabil, material inox medical, nesteril, obligatoriu ambalaj individual cu sigiliu pentru prima deschidere., Bucată</t>
  </si>
  <si>
    <t>Instrumente pentru chirurgia ortopedică și osteotomică. Bone Nibbling Rongeur (muscator de os).Taietor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</si>
  <si>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160mm ( 007639 )</t>
  </si>
  <si>
    <t>Instrumente pentru chirurgia ortopedică și osteotomică Bone Nibbling Rongeur (muscator de os), 160mm ( 007639 ), Taietor de os 5 mm x 3,5 mm bite (partea de lucru), lungimea totala 160 mm(+/-10mm). Reutilizabil, material inox medical, nesteril, obligatoriu ambalaj individual cu sigiliu pentru prima deschidere., Bucată</t>
  </si>
  <si>
    <t>Instrumente pentru chirurgia ortopedică și osteotomică. Bone Nibbling Rongeur (muscator de os). Taietor de os 5 mm x 3,5 mm bite (partea de lucru), lungimea totala 160 mm(+/-10mm).
Reutilizabil, material inox medical, nesteril, obligatoriu ambalaj individual cu sigiliu pentru prima deschidere.</t>
  </si>
  <si>
    <t>Instrumente pentru chirurgia ortopedică și osteotomică Broșe Kirschner, d-1.5 x 250 mm ( 007814 )</t>
  </si>
  <si>
    <t>Instrumente pentru chirurgia ortopedică și osteotomică Broșe Kirschner, d-1.5 x 250 mm ( 007814 ), Broșe Kirschner, diametru - 1.5 mm, lungimea - 250 mm(+/-10mm), cu dublu trocar (ascuțite la ambele capete), Bucată</t>
  </si>
  <si>
    <t>Instrumente pentru chirurgia ortopedică și osteotomică. Broșe Kirschner, diametru - 1.5 mm, lungimea - 250 mm(+/-10mm), cu dublu trocar (ascuțite la ambele capete).</t>
  </si>
  <si>
    <t>Instrumente pentru chirurgia ortopedică și osteotomică Broșe Kirschner, d-2.0 x 300 mm ( 007815 )</t>
  </si>
  <si>
    <t>Instrumente pentru chirurgia ortopedică și osteotomică Broșe Kirschner, d-2.0 x 300 mm ( 007815 ), Broșe Kirschner, diametru - 2.0 mm, lungimea - 300 mm(+/-10mm), cu dublu trocar (ascuțite la ambele capete), Bucată</t>
  </si>
  <si>
    <t>Instrumente pentru chirurgia ortopedică și osteotomică. Broșe Kirschner, diametru - 2.0 mm, lungimea - 300 mm(+/-10mm), cu dublu trocar (ascuțite la ambele capete).</t>
  </si>
  <si>
    <t>Instrumente pentru chirurgia ortopedică și osteotomică Burghiu  canulat l-300-320mm la diam. 4,5mm ( 007442 )</t>
  </si>
  <si>
    <t>Instrumente pentru chirurgia ortopedică și osteotomică Burghiu  canulat l-300-320mm la diam. 4,5mm ( 007442 ), Burghiu  canulat l-300-320mm la diam. 4,5mm
*Reutilizabil, material inox medical., Bucată</t>
  </si>
  <si>
    <t>Instrumente pentru chirurgia ortopedică și osteotomică.  Burghiu  canulat l-300-320mm la diam. 4,5mm
*Reutilizabil, material inox medical.</t>
  </si>
  <si>
    <t>Instrumente pentru chirurgia ortopedică și osteotomică Burghiu  canulat l-300mm la diam. 2,5mm ( 007443 )</t>
  </si>
  <si>
    <t>Instrumente pentru chirurgia ortopedică și osteotomică Burghiu  canulat l-300mm la diam. 2,5mm ( 007443 ), Burghiu  canulat l-300mm la diam. 2,5mm
*Reutilizabil, material inox medical., Bucată</t>
  </si>
  <si>
    <t>Instrumente pentru chirurgia ortopedică și osteotomică. Burghiu  canulat l-300mm la diam. 2,5mm
*Reutilizabil, material inox medical.</t>
  </si>
  <si>
    <t>Instrumente pentru chirurgia ortopedică și osteotomică Burghiu  l-200-250mm., la diametru  4,5mm ( 007444 )</t>
  </si>
  <si>
    <t>Instrumente pentru chirurgia ortopedică și osteotomică Burghiu  l-200-250mm., la diametru  4,5mm ( 007444 ), Burghiu  l-200-250mm., la diametru  4,5mm
*Reutilizabil, material inox medical., Bucată</t>
  </si>
  <si>
    <t>Instrumente pentru chirurgia ortopedică și osteotomică. Burghiu  l-200-250mm., la diametru  4,5mm
*Reutilizabil, material inox medical.</t>
  </si>
  <si>
    <t>Instrumente pentru chirurgia ortopedică și osteotomică Burghiu  l-300-320mm., la diametru  4,0 mm ( 007445 )</t>
  </si>
  <si>
    <t>Instrumente pentru chirurgia ortopedică și osteotomică Burghiu  l-300-320mm., la diametru  4,0 mm ( 007445 ), Burghiu  l-300mm-320mm, la diametru  4,0 mm
*Reutilizabil, material inox medical., Bucată</t>
  </si>
  <si>
    <t>Instrumente pentru chirurgia ortopedică și osteotomică. Burghiu  l-300mm-320mm, la diametru  4,0 mm
*Reutilizabil, material inox medical.</t>
  </si>
  <si>
    <t>Instrumente pentru chirurgia ortopedică și osteotomică Burghiu 200-250mm., la diametru 2,8mm ( 007446 )</t>
  </si>
  <si>
    <t>Instrumente pentru chirurgia ortopedică și osteotomică Burghiu 200-250mm., la diametru 2,8mm ( 007446 ), Burghiu 200-250mm., la diametru 2,8mm
*Reutilizabil, material inox medical., Bucată</t>
  </si>
  <si>
    <t>Instrumente pentru chirurgia ortopedică și osteotomică. Burghiu 200-250mm., la diametru 2,8mm
*Reutilizabil, material inox medical.</t>
  </si>
  <si>
    <t>Instrumente pentru chirurgia ortopedică și osteotomică Burghiu canulat l-200-250mm., la diametru   3,5mm ( 007447 )</t>
  </si>
  <si>
    <t>Instrumente pentru chirurgia ortopedică și osteotomică Burghiu canulat l-200-250mm., la diametru   3,5mm ( 007447 ), Burghiu canulat l-200-250mm., la diametru   3,5mm
*Reutilizabil, material inox medical., Bucată</t>
  </si>
  <si>
    <t>Instrumente pentru chirurgia ortopedică și osteotomică. Burghiu canulat l-200-250mm., la diametru   3,5mm
*Reutilizabil, material inox medical.</t>
  </si>
  <si>
    <t>Instrumente pentru chirurgia ortopedică și osteotomică Burghiu l-200-250mm., la diametru   3,2mm ( 007448 )</t>
  </si>
  <si>
    <t>Instrumente pentru chirurgia ortopedică și osteotomică Burghiu l-200-250mm., la diametru   3,2mm ( 007448 ), Burghiu l-200-250mm., la diametru   3,2mm
*Reutilizabil, material inox medical., Bucată</t>
  </si>
  <si>
    <t>Instrumente pentru chirurgia ortopedică și osteotomică. Burghiu l-200-250mm., la diametru   3,2mm
*Reutilizabil, material inox medical.</t>
  </si>
  <si>
    <t>Instrumente pentru chirurgia ortopedică și osteotomică Burghiu l-200-250mm., la diametru 2,5mm ( 007449 )</t>
  </si>
  <si>
    <t>Instrumente pentru chirurgia ortopedică și osteotomică Burghiu l-200-250mm., la diametru 2,5mm ( 007449 ), Burghiu l-200-250mm., la diametru 2,5mm
*Reutilizabil, material inox medical., Bucată</t>
  </si>
  <si>
    <t>Instrumente pentru chirurgia ortopedică și osteotomică. Burghiu l-200-250mm., la diametru 2,5mm
*Reutilizabil, material inox medical.</t>
  </si>
  <si>
    <t>Instrumente pentru chirurgia ortopedică și osteotomică Chireta chirurgicala cu mainer de lemn. ( 007817 )</t>
  </si>
  <si>
    <t>Instrumente pentru chirurgia ortopedică și osteotomică Chireta chirurgicala cu mainer de lemn. ( 007817 ), Lungimea 270 mm(+/-10mm), latimea partii lucrative 8.5 mm., Bucată</t>
  </si>
  <si>
    <t>Instrumente pentru chirurgia ortopedică și osteotomică Chireta chirurgicala cu mainer de lemn. Lungimea 270 mm(+/-10mm), latimea partii lucrative 8.5 mm.</t>
  </si>
  <si>
    <t>Instrumente pentru chirurgia ortopedică și osteotomică Ciupitor de os Bohler 150mm ( 007460 )</t>
  </si>
  <si>
    <t>Instrumente pentru chirurgia ortopedică și osteotomică Ciupitor de os Bohler 150mm ( 007460 ), Ciupitor de os Bohler 150mm (+/- 5 mm)
*Reutilizabil, material inox medical., Bucată</t>
  </si>
  <si>
    <t>Instrumente pentru chirurgia ortopedică și osteotomică. Ciupitor de os Bohler 150mm (+/- 5 mm)
*Reutilizabil, material inox medical.</t>
  </si>
  <si>
    <t>Instrumente pentru chirurgia ortopedică și osteotomică Ciupitor de os Stille Ruskin 230mm ( 007461 )</t>
  </si>
  <si>
    <t>Instrumente pentru chirurgia ortopedică și osteotomică Ciupitor de os Stille Ruskin 230mm ( 007461 ), Ciupitor de os Stille Ruskin 230mm (+/- 5 mm)
*Reutilizabil, material inox medical., Bucată</t>
  </si>
  <si>
    <t>Instrumente pentru chirurgia ortopedică și osteotomică. Ciupitor de os Stille Ruskin 230mm (+/- 5 mm)
*Reutilizabil, material inox medical.</t>
  </si>
  <si>
    <t>Instrumente pentru chirurgia ortopedică și osteotomică Ciupitor de os Stille Ruskin 270mm ( 007462 )</t>
  </si>
  <si>
    <t>Instrumente pentru chirurgia ortopedică și osteotomică Ciupitor de os Stille Ruskin 270mm ( 007462 ), Ciupitor de os Stille Ruskin 270mm (+/- 5 mm)
*Reutilizabil, material inox medical., Bucată</t>
  </si>
  <si>
    <t>Instrumente pentru chirurgia ortopedică și osteotomică. Ciupitor de os Stille Ruskin 270mm (+/- 5 mm)
*Reutilizabil, material inox medical.</t>
  </si>
  <si>
    <t>Instrumente pentru chirurgia ortopedică și osteotomică Ciupitor Takahashi angular 130°, mușcătura sus- 3,00 mm, ( 007463 )</t>
  </si>
  <si>
    <t>Instrumente pentru chirurgia ortopedică și osteotomică Ciupitor Takahashi angular 130°, mușcătura sus- 3,00 mm, ( 007463 ), Ciupitor tip Takahashi angular 130°, mușcătura sus- 3,00 mm, fin, lung. de lucru 120 mm (+/-5 mm). Reutilizabil, material inox medical, nesteril, duritatea metalului în limitele 50-58 HRC confirmată prin certificat de la producător., Bucată</t>
  </si>
  <si>
    <t>Instrumente pentru chirurgia ortopedică și osteotomică. Ciupitor tip Takahashi angular 130°, mușcătura sus- 3,00 mm, fin, lung. de lucru 120 mm (+/-5 mm). 
Reutilizabil, material inox medical, nesteril, duritatea metalului în limitele 50-58 HRC confirmată prin certificat de la producător.</t>
  </si>
  <si>
    <t>Instrumente pentru chirurgia ortopedică și osteotomică Cleste (taietor) p/u fise Schanz, fire Kirschner și pini Steinmann ( 007467 )</t>
  </si>
  <si>
    <t>Instrumente pentru chirurgia ortopedică și osteotomică Cleste (taietor) p/u fise Schanz, fire Kirschner și pini Steinmann ( 007467 ), Cleste (taietor) p/u fise Schanz, pentru fire Kirschner și pini Steinmann de până la 6 mm, Lungimea 570mm (+/-10mm)
*Reutilizabil, material inox medical., Bucată</t>
  </si>
  <si>
    <t xml:space="preserve">Instrumente pentru chirurgia ortopedică și osteotomică. Cleste (taietor) p/u fise Schanz, pentru fire Kirschner și pini Steinmann de până la 6 mm, Lungimea 570mm (+/-10mm)
*Reutilizabil, material inox medical.
</t>
  </si>
  <si>
    <t>Instrumente pentru chirurgia ortopedică și osteotomică Clește ciupitor os Liston, angular, lungime 170 mm ( 007468 )</t>
  </si>
  <si>
    <t>Instrumente pentru chirurgia ortopedică și osteotomică Clește ciupitor os Liston, angular, lungime 170 mm ( 007468 ), Clește ciupitor os Liston, ușor angular, lungime 170 mm (+/-5mm). Reutilizabil, material inox medical, nesteril, duritatea metalului în limitele 50-58 HRC confirmată prin certificat de la producător., Bucată</t>
  </si>
  <si>
    <t>Instrumente pentru chirurgia ortopedică și osteotomică. Clește ciupitor os Liston, ușor angular, lungime 170 mm (+/-5mm).
Reutilizabil, material inox medical, nesteril, duritatea metalului în limitele 50-58 HRC confirmată prin certificat de la producător.</t>
  </si>
  <si>
    <t>Instrumente pentru chirurgia ortopedică și osteotomică Clește ciupitor os Liston, angular, lungime 200 mm ( 007469 )</t>
  </si>
  <si>
    <t>Instrumente pentru chirurgia ortopedică și osteotomică Clește ciupitor os Liston, angular, lungime 200 mm ( 007469 ), Clește ciupitor os Liston, angular, lungime 200 mm (+/-5mm). Reutilizabil, material inox medical, nesteril, duritatea metalului în limitele 50-58 HRC confirmată prin certificat de la producător., Bucată</t>
  </si>
  <si>
    <t>Instrumente pentru chirurgia ortopedică și osteotomică. Clește ciupitor os Liston, angular, lungime 200 mm (+/-5mm).
Reutilizabil, material inox medical, nesteril, duritatea metalului în limitele 50-58 HRC confirmată prin certificat de la producător.</t>
  </si>
  <si>
    <t>Instrumente pentru chirurgia ortopedică și osteotomică Clește ciupitor os Liston, angular, lungime 220 mm ( 007470 )</t>
  </si>
  <si>
    <t>Instrumente pentru chirurgia ortopedică și osteotomică Clește ciupitor os Liston, angular, lungime 220 mm ( 007470 ), Clește ciupitor os Liston, angular, lungime 220 mm (+/-5mm). Reutilizabil, material inox medical, nesteril, duritatea metalului în limitele 50-58 HRC confirmată prin certificat de la producător., Bucată</t>
  </si>
  <si>
    <t>Instrumente pentru chirurgia ortopedică și osteotomică. Clește ciupitor os Liston, angular, lungime 220 mm (+/-5mm).
Reutilizabil, material inox medical, nesteril, duritatea metalului în limitele 50-58 HRC confirmată prin certificat de la producător.</t>
  </si>
  <si>
    <t>Instrumente pentru chirurgia ortopedică și osteotomică Clește ciupitor os Liston, drept, lungime 220 mm ( 007471 )</t>
  </si>
  <si>
    <t>Instrumente pentru chirurgia ortopedică și osteotomică Clește ciupitor os Liston, drept, lungime 220 mm ( 007471 ), Clește ciupitor os Liston, drept, lungime 220 mm (+/-5mm). Reutilizabil, material inox medical, nesteril, duritatea metalului în limitele 50-58 HRC confirmată prin certificat de la producător., Bucată</t>
  </si>
  <si>
    <t>Instrumente pentru chirurgia ortopedică și osteotomică. Clește ciupitor os Liston, drept, lungime 220 mm (+/-5mm).
Reutilizabil, material inox medical, nesteril, duritatea metalului în limitele 50-58 HRC confirmată prin certificat de la producător.</t>
  </si>
  <si>
    <t>Instrumente pentru chirurgia ortopedică și osteotomică Clește de taiat os Stille Liston 270mm ( 007472 )</t>
  </si>
  <si>
    <t>Instrumente pentru chirurgia ortopedică și osteotomică Clește de taiat os Stille Liston 270mm ( 007472 ), Cleste de taiat os Stille Liston 270mm (+/- 5 mm)
*Reutilizabil, material inox medical., Bucată</t>
  </si>
  <si>
    <t>Instrumente pentru chirurgia ortopedică și osteotomică. Cleste de taiat os Stille Liston 270mm (+/- 5 mm)
*Reutilizabil, material inox medical.</t>
  </si>
  <si>
    <t>Instrumente pentru chirurgia ortopedică și osteotomică Clește(taietor)p/u brose ( 007473 )</t>
  </si>
  <si>
    <t>Instrumente pentru chirurgia ortopedică și osteotomică Clește(taietor)p/u brose ( 007473 ), Cleste (tăietor)p/u brose 220 mm (+/-5mm) - Wire Cutting Forceps 
*Reutilizabil, material inox medical., Bucată</t>
  </si>
  <si>
    <t>Instrumente pentru chirurgia ortopedică și osteotomică. Cleste (tăietor)p/u brose 220 mm (+/-10mm) - Wire Cutting Forceps 
*Reutilizabil, material inox medical.</t>
  </si>
  <si>
    <t>Instrumente pentru chirurgia ortopedică și osteotomică Crontang drept ( 007821 )</t>
  </si>
  <si>
    <t>Instrumente pentru chirurgia ortopedică și osteotomică Crontang drept ( 007821 ), Destinat furnizării materialului de pansament, instrumente, introducerea tampoanelor în rană, drenaj, îndepărtarea corpurilor străine, crearea unui tupfer, prelucrarea câmpului chirurgical etc.
Lungime 260 mm (+/-10mm) (cod referință: J-18-046 sau analog), Bucată</t>
  </si>
  <si>
    <t>Instrumente pentru chirurgia ortopedică și osteotomică Crontang drept. Destinat furnizării materialului de pansament, instrumente, introducerea tampoanelor în rană, drenaj, îndepărtarea corpurilor străine, crearea unui tupfer, prelucrarea câmpului chirurgical etc.
Lungime 260 mm (+/-10mm) (cod referință: J-18-046 sau analog).</t>
  </si>
  <si>
    <t>Instrumente pentru chirurgia ortopedică și osteotomică Crontang încovoiat ( 007822 )</t>
  </si>
  <si>
    <t>Instrumente pentru chirurgia ortopedică și osteotomică Crontang încovoiat ( 007822 ), Destinat furnizării materialului de pansament, instrumente, introducerea tampoanelor în rană, drenaj, îndepărtarea corpurilor străine, crearea unui tupfer, prelucrarea câmpului chirurgical etc.
Lungime 256 mm  (+/-10mm) (cod referință: J-18-048 sau analog), Bucată</t>
  </si>
  <si>
    <t>Instrumente pentru chirurgia ortopedică și osteotomică Crontang încovoiat. Destinat furnizării materialului de pansament, instrumente, introducerea tampoanelor în rană, drenaj, îndepărtarea corpurilor străine, crearea unui tupfer, prelucrarea câmpului chirurgical etc.
Lungime 256 mm  (+/-10mm) (cod referință: J-18-048 sau analog).</t>
  </si>
  <si>
    <t>Instrumente pentru chirurgia ortopedică și osteotomică Cuţit p/u amputaţie mare LANGENBERCH, 315mm ( 007474 )</t>
  </si>
  <si>
    <t>Instrumente pentru chirurgia ortopedică și osteotomică Cuţit p/u amputaţie mare LANGENBERCH, 315mm ( 007474 ), Cuţit p/u amputaţie mare LANGENBERCH 315x180mm (+/-5mm).
*Reutilizabil, material inox medical., Bucată</t>
  </si>
  <si>
    <t>Instrumente pentru chirurgia ortopedică și osteotomică. Cuţit p/u amputaţie mare LANGENBERCH 315x180mm (+/-5mm).
*Reutilizabil, material inox medical.</t>
  </si>
  <si>
    <t>Instrumente pentru chirurgia ortopedică și osteotomică Cuţit p/u amputaţie mic LANGENBERCH, 250mm ( 007475 )</t>
  </si>
  <si>
    <t>Instrumente pentru chirurgia ortopedică și osteotomică Cuţit p/u amputaţie mic LANGENBERCH, 250mm ( 007475 ), Cuţit p/u amputaţie mic LANGENBERCH, 250х 120mm (+/-5mm).
*Reutilizabil, material inox medical., Bucată</t>
  </si>
  <si>
    <t>Instrumente pentru chirurgia ortopedică și osteotomică. Cuţit p/u amputaţie mic LANGENBERCH, 250х 120mm (+/-5mm).
*Reutilizabil, material inox medical.</t>
  </si>
  <si>
    <t>Instrumente pentru chirurgia ortopedică și osteotomică Extractor de șuruburi deteriorate ( 007486 )</t>
  </si>
  <si>
    <t>Instrumente pentru chirurgia ortopedică și osteotomică Set Extractor de șuruburi deteriorate ( 007486 )</t>
  </si>
  <si>
    <t>Instrumente pentru chirurgia ortopedică și osteotomică Extractor de șuruburi deteriorate ( 007486 ), Extractor de șuruburi deteriorate
*Reutilizabil, material inox medical., Bucată</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</si>
  <si>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</si>
  <si>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( 007845 )</t>
  </si>
  <si>
    <t>Instrumente pentru chirurgia ortopedică și osteotomică Extractor pentru scoabe ( 007845 ), Extractor pentru scoabe, destinat pentru îndepărtarea capselor de piele (larg Ø0.6x7.0x4.0in și înalt Ø0.6x7.0x5.4in). Având fălci metalice (fălci), manere drepte cu 2 inele de plastic de diferite diametre, arc din oțel - readuceți fălcile la starea inițială (deschisă)., Bucată</t>
  </si>
  <si>
    <t>Instrumente pentru chirurgia ortopedică și osteotomică. 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</si>
  <si>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Ferestrău sîrmă rasucită ( 007846 )</t>
  </si>
  <si>
    <t>Instrumente pentru chirurgia ortopedică și osteotomică Ferestrău sîrmă rasucită ( 007846 ), Ferestrău sîrmă rasucită, lungimea 50 cm (±10mm) ( Cod referinta JO-21-214 sau analog), Bucată</t>
  </si>
  <si>
    <t>Instrumente pentru chirurgia ortopedică și osteotomică. Ferestrău sîrmă rasucită, lungimea 50 cm (±10mm) ( Cod referinta JO-21-214 sau analog).</t>
  </si>
  <si>
    <t>Instrumente pentru chirurgia ortopedică și osteotomică Fixator de os Farabeuf 270mm ( 007487 )</t>
  </si>
  <si>
    <t>Instrumente pentru chirurgia ortopedică și osteotomică Fixator de os Farabeuf 270mm ( 007487 ), Fixator de os Farabeuf 270mm (+/- 10 mm), cu lacăt de fixare
*Reutilizabil, material inox medical., Bucată</t>
  </si>
  <si>
    <t>Instrumente pentru chirurgia ortopedică și osteotomică. Fixator de os Farabeuf 270mm (+/- 10 mm), cu lacăt de fixare
*Reutilizabil, material inox medical.</t>
  </si>
  <si>
    <t>Instrumente pentru chirurgia ortopedică și osteotomică Foarfecă de oase Liston (200 mm) ( 007858 )</t>
  </si>
  <si>
    <t>Instrumente pentru chirurgia ortopedică și osteotomică Foarfecă de oase Liston (200 mm) ( 007858 ), Foarfece Liston pentru disecția oaselor, drepte, lungime 200 mm  ±5mm. ( Cod referinta DDP-PM/168 sau analog), Bucată</t>
  </si>
  <si>
    <t>Instrumente pentru chirurgia ortopedică și osteotomică. Foarfece Liston pentru disecția oaselor, drepte, lungime 200 mm  ±5mm. ( Cod referinta DDP-PM/168 sau analog).</t>
  </si>
  <si>
    <t>Instrumente pentru chirurgia ortopedică și osteotomică Foarfecă de oase Liston(220 mm) ( 007859 )</t>
  </si>
  <si>
    <t>Instrumente pentru chirurgia ortopedică și osteotomică Foarfecă de oase Liston(220 mm) ( 007859 ), Foarfece Liston pentru disecția oaselor, drepte, lungime 220 mm  ±5mm. ( Copd referinta DDP-PM/169 sau analog), Bucată</t>
  </si>
  <si>
    <t>Instrumente pentru chirurgia ortopedică și osteotomică. Foarfece Liston pentru disecția oaselor, drepte, lungime 220 mm  ±5mm. ( Copd referinta DDP-PM/169 sau analog).</t>
  </si>
  <si>
    <t>Instrumente pentru chirurgia ortopedică și osteotomică Ghid p/u burghiu 2,8mm (placi blocate) ( 007518 )</t>
  </si>
  <si>
    <t>Instrumente pentru chirurgia ortopedică și osteotomică Ghid p/u burghiu 2,8mm (placi blocate) ( 007518 ), Ghid p/u burghiu 2,8mm (placi blocate)
*Reutilizabil, material inox medical., Bucată</t>
  </si>
  <si>
    <t>Instrumente pentru chirurgia ortopedică și osteotomică.  Ghid p/u burghiu 2,8mm (placi blocate).
*Reutilizabil, material inox medical.</t>
  </si>
  <si>
    <t>Instrumente pentru chirurgia ortopedică și osteotomică Ghid p/u burghiu 4,5mm (placi blocate) ( 007519 )</t>
  </si>
  <si>
    <t>Instrumente pentru chirurgia ortopedică și osteotomică Ghid p/u burghiu 4,5mm (placi blocate) ( 007519 ), Ghid p/u burghiu 4,5mm (placi blocate)
*Reutilizabil, material inox medical., Bucată</t>
  </si>
  <si>
    <t>Instrumente pentru chirurgia ortopedică și osteotomică. Ghid p/u burghiu 4,5mm (placi blocate).
*Reutilizabil, material inox medical.</t>
  </si>
  <si>
    <t>Instrumente pentru chirurgia ortopedică și osteotomică Ghid pentru sirma de tip Demel 270mm ( 007521 )</t>
  </si>
  <si>
    <t>Instrumente pentru chirurgia ortopedică și osteotomică Ghid pentru sirma de tip Demel 270mm ( 007521 ), Ghid pentru sirma de tip Demel 275mm (+/- 5 mm)
*Reutilizabil, material inox medical., Bucată</t>
  </si>
  <si>
    <t>Instrumente pentru chirurgia ortopedică și osteotomică. Ghid pentru sirma de tip Demel 275mm (+/- 5 mm)
*Reutilizabil, material inox medical.</t>
  </si>
  <si>
    <t>Instrumente pentru chirurgia ortopedică și osteotomică Instrument de extractie a tijelor protetice ( 007884 )</t>
  </si>
  <si>
    <t>Instrumente pentru chirurgia ortopedică și osteotomică Instrument de extractie a tijelor protetice ( 007884 ), Lungimea 300 mm (+-10mm). Latimea 17 mm. Reutilizabil, material inox medical, nesteril, duritatea metalului în limitele 50-58 HRC confirmată prin certificat de la producător., Bucată</t>
  </si>
  <si>
    <t>Instrumente pentru chirurgia ortopedică și osteotomică. Instrument de extractie a tijelor protetice. Lungimea 300 mm (+-10mm). Latimea 17 mm.
Reutilizabil, material inox medical, nesteril, duritatea metalului în limitele 50-58 HRC confirmată prin certificat de la producător.</t>
  </si>
  <si>
    <t>Instrumente pentru chirurgia ortopedică și osteotomică Osteotom 16mm înclinată, bont ( 007526 )</t>
  </si>
  <si>
    <t>Instrumente pentru chirurgia ortopedică și osteotomică Osteotom 16mm înclinată, bont ( 007526 ), Osteotom 16mm lațime, înclinată, cu vârf bont
*Reutilizabil, material inox medical., Bucată</t>
  </si>
  <si>
    <t>Instrumente pentru chirurgia ortopedică și osteotomică. Osteotom 16mm lațime, înclinată, cu vârf bont
*Reutilizabil, material inox medical.</t>
  </si>
  <si>
    <t>Instrumente pentru chirurgia ortopedică și osteotomică Osteotom 16mm, dreaptă, ascuțit ( 007527 )</t>
  </si>
  <si>
    <t>Instrumente pentru chirurgia ortopedică și osteotomică Osteotom 16mm, dreaptă, ascuțit ( 007527 ), Osteotom 16mm lațime, dreaptă, cu vârf ascuțit
*Reutilizabil, material inox medical., Bucată</t>
  </si>
  <si>
    <t>Instrumente pentru chirurgia ortopedică și osteotomică.  Osteotom 16mm lațime, dreaptă, cu vârf ascuțit.
*Reutilizabil, material inox medical.</t>
  </si>
  <si>
    <t>Instrumente pentru chirurgia ortopedică și osteotomică Osteotom 16mm, dreaptă, bont ( 007528 )</t>
  </si>
  <si>
    <t>Instrumente pentru chirurgia ortopedică și osteotomică Osteotom 16mm, dreaptă, bont ( 007528 ), Osteotom 16mm lațime, dreaptă, cu vârf bont
*Reutilizabil, material inox medical., Bucată</t>
  </si>
  <si>
    <t>Instrumente pentru chirurgia ortopedică și osteotomică. Osteotom 16mm lațime, dreaptă, cu vârf bont.
*Reutilizabil, material inox medical.</t>
  </si>
  <si>
    <t>Instrumente pentru chirurgia ortopedică și osteotomică Osteotom 16mm, înclinată, ascuțit ( 007529 )</t>
  </si>
  <si>
    <t>Instrumente pentru chirurgia ortopedică și osteotomică Osteotom 16mm, înclinată, ascuțit ( 007529 ), Osteotom 16mm lațime, înclinată, cu vârf ascuțit
*Reutilizabil, material inox medical., Bucată</t>
  </si>
  <si>
    <t>Instrumente pentru chirurgia ortopedică și osteotomică. Osteotom 16mm lațime, înclinată, cu vârf ascuțit.
*Reutilizabil, material inox medical.</t>
  </si>
  <si>
    <t>Instrumente pentru chirurgia ortopedică și osteotomică Osteotom 30mm înclinată, bont ( 007530 )</t>
  </si>
  <si>
    <t>Instrumente pentru chirurgia ortopedică și osteotomică Osteotom 30mm înclinată, bont ( 007530 ), Osteotom 30mm lațime, înclinată, cu vârf bont
*Reutilizabil, material inox medical., Bucată</t>
  </si>
  <si>
    <t>Instrumente pentru chirurgia ortopedică și osteotomică. Osteotom 30mm lațime, înclinată, cu vârf bont.
*Reutilizabil, material inox medical.</t>
  </si>
  <si>
    <t>Instrumente pentru chirurgia ortopedică și osteotomică Osteotom 30mm, dreaptă, ascuțit ( 007531 )</t>
  </si>
  <si>
    <t>Instrumente pentru chirurgia ortopedică și osteotomică Osteotom 30mm, dreaptă, ascuțit ( 007531 ), Osteotom 16mm lațime, dreaptă, cu vârf ascuțit
*Reutilizabil, material inox medical., Bucată</t>
  </si>
  <si>
    <t>Instrumente pentru chirurgia ortopedică și osteotomică. Osteotom 16mm lațime, dreaptă, cu vârf ascuțit.
*Reutilizabil, material inox medical.</t>
  </si>
  <si>
    <t>Instrumente pentru chirurgia ortopedică și osteotomică Osteotom 30mm, dreaptă, bont ( 007532 )</t>
  </si>
  <si>
    <t>Instrumente pentru chirurgia ortopedică și osteotomică Osteotom 30mm, dreaptă, bont ( 007532 ), Osteotom 30mm lațime, dreaptă, cu vârf bont
*Reutilizabil, material inox medical., Bucată</t>
  </si>
  <si>
    <t>Instrumente pentru chirurgia ortopedică și osteotomică. Osteotom 30mm lațime, dreaptă, cu vârf bont.
*Reutilizabil, material inox medical.</t>
  </si>
  <si>
    <t>Instrumente pentru chirurgia ortopedică și osteotomică Osteotom 30mm, înclinată, ascuțit ( 007533 )</t>
  </si>
  <si>
    <t>Instrumente pentru chirurgia ortopedică și osteotomică Osteotom 30mm, înclinată, ascuțit ( 007533 ), Osteotom 30mm lațime, înclinată, cu vârf ascuțit
*Reutilizabil, material inox medical., Bucată</t>
  </si>
  <si>
    <t>Instrumente pentru chirurgia ortopedică și osteotomică. Osteotom 30mm lațime, înclinată, cu vârf ascuțit.
*Reutilizabil, material inox medical.</t>
  </si>
  <si>
    <t>Instrumente pentru chirurgia ortopedică și osteotomică Osteotom cu mâner din PEEK, cu lame interschimbabile ( 007890 )</t>
  </si>
  <si>
    <t>Instrumente pentru chirurgia ortopedică și osteotomică Osteotom cu mâner din PEEK, cu lame interschimbabile ( 007890 ), Mâner cu cheie: 1 Bucata; Lama, cu lungimea 45 mm, latimea 10 mm: 2 Bucati; Lama lungimea 78 mm, latimea 25 mm: 2 bucati. Reutilizabil, material inox medical, nesteril, duritatea metalului în limitele 50-58 HRC confirmată prin certificat de la producător., Bucată</t>
  </si>
  <si>
    <t>Instrumente pentru chirurgia ortopedică și osteotomică Osteotom cu mâner din PEEK, cu lame interschimbabile.  Mâner cu cheie: 1 Bucata; Lama, cu lungimea 45 mm, latimea 10 mm: 2 Bucati; Lama lungimea 78 mm, latimea 25 mm: 2 bucati. Reutilizabil, material inox medical, nesteril, duritatea metalului în limitele 50-58 HRC confirmată prin certificat de la producător.</t>
  </si>
  <si>
    <t>Instrumente pentru chirurgia ortopedică și osteotomică Osteotom incovoiat tip Lexer ( 007891 )</t>
  </si>
  <si>
    <t>Instrumente pentru chirurgia ortopedică și osteotomică Osteotom incovoiat tip Lexer ( 007891 ), Lungimea 300 mm (+/-10mm). Latimea lamei 15 mm. Reutilizabil, material inox medical, nesteril, duritatea metalului în limitele 50-58 HRC confirmată prin certificat de la producător., Bucată</t>
  </si>
  <si>
    <t>Instrumente pentru chirurgia ortopedică și osteotomică. Osteotom incovoiat tip Lexer. Lungimea 300 mm (+/-10mm). Latimea lamei 15 mm. Reutilizabil, material inox medical, nesteril, duritatea metalului în limitele 50-58 HRC confirmată prin certificat de la producător.</t>
  </si>
  <si>
    <t>Instrumente pentru chirurgia ortopedică și osteotomică Osteotom tip Hibbs, lama incovoiata ( 007892 )</t>
  </si>
  <si>
    <t>Instrumente pentru chirurgia ortopedică și osteotomică Osteotom tip Hibbs, lama incovoiata ( 007892 ), Lungimea 240 mm (+/-10mm), latimea 16 mm. Reutilizabil, material inox medical, nesteril, duritatea metalului în limitele 50-58 HRC confirmată prin certificat de la producător., Bucată</t>
  </si>
  <si>
    <t>Instrumente pentru chirurgia ortopedică și osteotomică. Osteotom tip Hibbs, lama incovoiata. Lungimea 240 mm (+/-10mm), latimea 16 mm. Reutilizabil, material inox medical, nesteril, duritatea metalului în limitele 50-58 HRC confirmată prin certificat de la producător.</t>
  </si>
  <si>
    <t>Instrumente pentru chirurgia ortopedică și osteotomică Patent ortopedic (Cleste plat) ( 007893 )</t>
  </si>
  <si>
    <t>Instrumente pentru chirurgia ortopedică și osteotomică Patent ortopedic (Cleste plat) ( 007893 ), Lungimea 185 mm (+/-10mm). Reutilizabil, material inox medical, nesteril, duritatea metalului în limitele 50-58 HRC confirmată prin certificat de la producător., Bucată</t>
  </si>
  <si>
    <t>Instrumente pentru chirurgia ortopedică și osteotomică. Patent ortopedic (Cleste plat). Lungimea 185 mm (+/-10mm). Reutilizabil, material inox medical, nesteril, duritatea metalului în limitele 50-58 HRC confirmată prin certificat de la producător.</t>
  </si>
  <si>
    <t>Instrumente pentru chirurgia ortopedică și osteotomică Rașpă Putti 300mm ( 007611 )</t>
  </si>
  <si>
    <t>Instrumente pentru chirurgia ortopedică și osteotomică Rașpă Putti 300mm ( 007611 ), Rașpă Putti 300mm (+/- 5 mm)
*Reutilizabil, material inox medical., Bucată</t>
  </si>
  <si>
    <t>Instrumente pentru chirurgia ortopedică și osteotomică. Rașpă Putti 300mm (+/- 5 mm).
*Reutilizabil, material inox medical.</t>
  </si>
  <si>
    <t>Instrumente pentru chirurgia ortopedică și osteotomică Retractor Farabeuf ( 007779 )</t>
  </si>
  <si>
    <t>Instrumente pentru chirurgia ortopedică și osteotomică Retractor Farabeuf ( 007779 ), Retractor Farabeuf, are două părți de lucru, îndoite în unghi drept. Dimensiuni: lungimea 210 mm  (+/-10mm), Latime 20 mm, inaltimea capetelor 20 mm si 42 mm, indoirea capatului 6 mm. nesteril, reutilizabil, aliajul de carbon cu wolfram va fi specificat pe ambalajul produsului., Bucată</t>
  </si>
  <si>
    <t>Instrumente pentru chirurgia ortopedică și osteotomică. Retractor Farabeuf, are două părți de lucru, îndoite în unghi drept. Dimensiuni: lungimea 210 mm  (+/-10mm), Latime 20 mm, inaltimea capetelor 20 mm si 42 mm, indoirea capatului 6 mm,  aliaj de carbon cu wolfram.</t>
  </si>
  <si>
    <t>Instrumente pentru chirurgia ortopedică și osteotomică Retractor Hibbs ( 007927 )</t>
  </si>
  <si>
    <t>Instrumente pentru chirurgia ortopedică și osteotomică Retractor Hibbs ( 007927 ), Retractor Hibbs. Lungimea 235 mm  (+/-10mm), dinti 25 - 75 mm. Reutilizabil, material inox medical, nesteril, duritatea metalului în limitele 50-58 HRC confirmată prin certificat de la producător., Bucată</t>
  </si>
  <si>
    <t>Instrumente pentru chirurgia ortopedică și osteotomică. Retractor Hibbs. Lungimea 235 mm  (+/-10mm), dinti 25 - 75 mm. Reutilizabil, material inox medical, nesteril, duritatea metalului în limitele 50-58 HRC confirmată prin certificat de la producător.</t>
  </si>
  <si>
    <t>Instrumente pentru chirurgia ortopedică și osteotomică Retractor Hohmann, ingust. ( 007928 )</t>
  </si>
  <si>
    <t>Instrumente pentru chirurgia ortopedică și osteotomică Retractor Hohmann, ingust. ( 007928 ), Retractor Hohmann, ingust. Lungimea 240 mm  (+/-10mm), latimea 17 mm. Reutilizabil, material inox medical, nesteril, duritatea metalului în limitele 50-58 HRC confirmată prin certificat de la producător., Bucată</t>
  </si>
  <si>
    <t>Instrumente pentru chirurgia ortopedică și osteotomică. Retractor Hohmann, ingust. Lungimea 240 mm  (+/-10mm), latimea 17 mm. Reutilizabil, material inox medical, nesteril, duritatea metalului în limitele 50-58 HRC confirmată prin certificat de la producător.</t>
  </si>
  <si>
    <t>Instrumente pentru chirurgia ortopedică și osteotomică Retractor Hohmann, mare. ( 007929 )</t>
  </si>
  <si>
    <t>Instrumente pentru chirurgia ortopedică și osteotomică Retractor Hohmann, mare. ( 007929 ), Retractor Hohmann, mare. Lungimea 260 mm  (+/-10mm), latimea 25 mm, Reutilizabil, material inox medical, nesteril, duritatea metalului în limitele 50-58 HRC confirmată prin certificat de la producător., Bucată</t>
  </si>
  <si>
    <t>Instrumente pentru chirurgia ortopedică și osteotomică. Retractor Hohmann, mare. Lungimea 260 mm  (+/-10mm), latimea 25 mm. Reutilizabil, material inox medical, nesteril, duritatea metalului în limitele 50-58 HRC confirmată prin certificat de la producător.</t>
  </si>
  <si>
    <t>Instrumente pentru chirurgia ortopedică și osteotomică Retractor laminar Inge ( 007930 )</t>
  </si>
  <si>
    <t>Instrumente pentru chirurgia ortopedică și osteotomică Retractor laminar Inge ( 007930 ), Retractor laminar Inge. Lungimea 275 mm  (+/-10mm). Reutilizabil, material inox medical, nesteril, duritatea metalului în limitele 50-58 HRC confirmată prin certificat de la producător., Bucată</t>
  </si>
  <si>
    <t>Instrumente pentru chirurgia ortopedică și osteotomică. Retractor laminar Inge. Lungimea 275 mm  (+/-10mm). Reutilizabil, material inox medical, nesteril, duritatea metalului în limitele 50-58 HRC confirmată prin certificat de la producător.</t>
  </si>
  <si>
    <t>Instrumente pentru chirurgia ortopedică și osteotomică Retractor mecanic Norfolk and Norwich ( 007931 )</t>
  </si>
  <si>
    <t>Instrumente pentru chirurgia ortopedică și osteotomică Retractor mecanic Norfolk and Norwich ( 007931 ), Retractor mecanic Norfolk and Norwich. Lungimea 220 mm  (+/-10mm). Reutilizabil, material inox medical, nesteril, duritatea metalului în limitele 50-58 HRC confirmată prin certificat de la producător., Bucată</t>
  </si>
  <si>
    <t>Instrumente pentru chirurgia ortopedică și osteotomică. Retractor mecanic Norfolk and Norwich. Lungimea 220 mm  (+/-10mm). Reutilizabil, material inox medical, nesteril, duritatea metalului în limitele 50-58 HRC confirmată prin certificat de la producător.</t>
  </si>
  <si>
    <t>Instrumente pentru chirurgia ortopedică și osteotomică Retractor Ragnell-Davis ( 007783 )</t>
  </si>
  <si>
    <t>Instrumente pentru chirurgia ortopedică și osteotomică Retractor Ragnell-Davis ( 007783 ), Retractor Ragnell-Davis, cu două capete de retracție cu dimensiunile cârligului de 8x4 mm și 15x5,5mm, lungimea 140 mm  (+/-10mm)  (Asemanator codului de referinta Geister 30-0170), Bucată</t>
  </si>
  <si>
    <t>Instrumente pentru chirurgia ortopedică și osteotomică. Retractor Ragnell-Davis, cu două capete de retracție cu dimensiunile cârligului de 8x4 mm și 15x5,5mm, lungimea 140 mm  (+/-10mm)  (Asemanator codului de referinta Geister 30-0170).</t>
  </si>
  <si>
    <t>Instrumente pentru chirurgia ortopedică și osteotomică Retractor tip Charnley (set de baza) ( 007932 )</t>
  </si>
  <si>
    <t>Instrumente pentru chirurgia ortopedică și osteotomică Retractor tip Charnley (set de baza) ( 007932 ), Retractor tip Charnley (set de baza):
1. Cadru metalic 300-240 mm;
2. Lama mica: lungimea  60 mm (+/-5mm) , dinti 37-25 mm; 
3. Lama mare: lungimea 174 mm  (+/-10mm) , dinti 42-25 mm., Bucată</t>
  </si>
  <si>
    <t>Instrumente pentru chirurgia ortopedică și osteotomică. Retractor tip Charnley (set de baza):
1. Cadru metalic 300-240 mm;
2. Lama mica: lungimea  60 mm (+/-5mm) , dinti 37-25 mm; 
3. Lama mare: lungimea 174 mm  (+/-10mm) , dinti 42-25 mm.</t>
  </si>
  <si>
    <t>Instrumente pentru chirurgie abdominală Pensă tip Billrot ( 007911 )</t>
  </si>
  <si>
    <t>Instrumente pentru chirurgie abdominală Pensă tip Billrot ( 007911 ), Pensa tip Billrot 160mm  (+/-10mm) varf moale incovoiat, Bucată</t>
  </si>
  <si>
    <t>Instrumente pentru chirurgie abdominală. Pensa tip Billrot 160mm  (+/-10mm) varf moale incovoiat.</t>
  </si>
  <si>
    <t>Instrumente pentru chirurgie generală Disector cu cremalieră ( 007481 )</t>
  </si>
  <si>
    <t>Instrumente pentru chirurgie generală Disector cu cremalieră ( 007481 ), Disector cu cremaliera, lungime - 220mm (+/-10mm), branșele de lucru 50x0,5mm, fine,  miner drept.
*Reutilizabil, material inox medical., Bucată</t>
  </si>
  <si>
    <t>Instrumente pentru chirurgie generală. Disector cu cremaliera, lungime - 220mm (+/-10mm), branșele de lucru 50x0,5mm, fine,  miner drept.
*Reutilizabil, material inox medical.</t>
  </si>
  <si>
    <t>Instrumente pentru chirurgie generală Foarfecă (127,00) ( 007847 )</t>
  </si>
  <si>
    <t>Instrumente pentru chirurgie generală Foarfecă (127mm) ( 007847 )</t>
  </si>
  <si>
    <t>Instrumente pentru chirurgie generală Foarfecă (127,00) ( 007847 ), Foarfece SHARP/SHARP, lungime 127 mm  ±10 mm.  ( Cod referinta DDP-PM/138 sau analog), Bucată</t>
  </si>
  <si>
    <t>Instrumente pentru chirurgie generală.  Foarfece SHARP/SHARP, lungime 127 mm  ±10 mm.  ( Cod referinta DDP-PM/138 sau analog).</t>
  </si>
  <si>
    <t>Instrumente pentru chirurgie generală Foarfecă (146,00) ( 007848 )</t>
  </si>
  <si>
    <t>Instrumente pentru chirurgie generală Foarfecă (146mm) ( 007848 )</t>
  </si>
  <si>
    <t>Instrumente pentru chirurgie generală Foarfecă (146,00) ( 007848 ), Foarfece, drepte, 346 mm  ±10mm. ( Cod referinta DDP-PM/ 130 sau analog), Bucată</t>
  </si>
  <si>
    <t>Instrumente pentru chirurgie generală. Foarfece, drepte, 146 mm  ±10mm. ( Cod referinta DDP-PM/ 130 sau analog).</t>
  </si>
  <si>
    <t>Instrumente pentru chirurgie generală Foarfecă (180,00) ( 007849 )</t>
  </si>
  <si>
    <t>Instrumente pentru chirurgie generală Foarfecă (180mm) ( 007849 )</t>
  </si>
  <si>
    <t>Instrumente pentru chirurgie generală Foarfecă (180,00) ( 007849 ), Foarfece de disecție SHARP/PROBE, lungime 180 mm  ±10mm.  (Cod refrinta DDP-PM/144 sau analog), Bucată</t>
  </si>
  <si>
    <t>Instrumente pentru chirurgie generală. Foarfece de disecție SHARP/PROBE, lungime 180 mm  ±10mm.  (Cod refrinta DDP-PM/144 sau analog).</t>
  </si>
  <si>
    <t>Instrumente pentru chirurgie generală Foarfecă (203,00) ( 007850 )</t>
  </si>
  <si>
    <t>Instrumente pentru chirurgie generală Foarfecă (203mm) ( 007850 )</t>
  </si>
  <si>
    <t>Instrumente pentru chirurgie generală Foarfecă (203,00) ( 007850 ), Foarfece SHARP/SHARP, lungime 203 mm  ±10mm. ( Cod referinta DDP-PM/143 sau analog), Bucată</t>
  </si>
  <si>
    <t>Instrumente pentru chirurgie generală. Foarfece SHARP/SHARP, lungime 203 mm  ±10mm. ( Cod referinta DDP-PM/143 sau analog).</t>
  </si>
  <si>
    <t>Instrumente pentru chirurgie generală Foarfecă chirurgical Kuper, 160mm ( 007490 )</t>
  </si>
  <si>
    <t>Instrumente pentru chirurgie generală Foarfecă chirurgical Kuper, 160mm ( 007490 ), Foarfece chirurgical tip ''Kuper'' vertical încovoiate  160mm (+/-5mm).
*Reutilizabil, material inox medical., Bucată</t>
  </si>
  <si>
    <t>Instrumente pentru chirurgie generală. Foarfece chirurgical tip ''Kuper'' vertical încovoiate  160mm (+/-5mm).
*Reutilizabil, material inox medical.</t>
  </si>
  <si>
    <t>Instrumente pentru chirurgie generală Foarfecă chirurgical Mayo-stylle, curbe  170mm ( 007491 )</t>
  </si>
  <si>
    <t>Instrumente pentru chirurgie generală Foarfecă chirurgical Mayo-stylle, curbe  170mm ( 007491 ), Foarfece chirurgical Mayo-stylle, curbe  170mm  (+/- 5 mm)
*Reutilizabil, material inox medical., Bucată</t>
  </si>
  <si>
    <t>Instrumente pentru chirurgie generală. Foarfece chirurgical Mayo-stylle, curbe  170mm  (+/- 5 mm).
*Reutilizabil, material inox medical.</t>
  </si>
  <si>
    <t>Instrumente pentru chirurgie generală Foarfecă chirurgical METZENBAUM, 180 mm, curbate ( 007695 )</t>
  </si>
  <si>
    <t>Instrumente pentru chirurgie generală Foarfecă chirurgical METZENBAUM, 180 mm, curbate ( 007695 ), Foarfeca Metzenbaum tip. Lungimea instrumentului 180mm (+/-10mm), cu branse curbate.(Echivalent codului de referinta BC287R Aesculap, DC21400-23 Delacroix) *Certificat CE și declarație de conformitate CE cu anexele corespunzătoare pentru produsul oferit – valabil - copie confirmată prin semnătura Participantului., Bucată</t>
  </si>
  <si>
    <t>Instrumente pentru chirurgie generală. Foarfeca Metzenbaum tip. Lungimea instrumentului 180mm (+/-10mm), cu branse curbate.(Echivalent codului de referinta BC287R Aesculap, DC21400-23 Delacroix).</t>
  </si>
  <si>
    <t>Instrumente pentru chirurgie generală Foarfecă chirurgical METZENBAUM, 230mm, curbate ( 007696 )</t>
  </si>
  <si>
    <t>Instrumente pentru chirurgie generală Foarfecă chirurgical METZENBAUM, 230mm, curbate ( 007696 ), Foarfeca Metzenbaum tip. Lungimea instrumentului 230mm (+/-10mm), cu branse curbate.(Echivalent codului de referinta BC287R Aesculap, DC21400-23 Delacroix), Bucată</t>
  </si>
  <si>
    <t>Instrumente pentru chirurgie generală. Foarfeca Metzenbaum tip. Lungimea instrumentului 230mm (+/-10mm), cu branse curbate.(Echivalent codului de referinta BC287R Aesculap, DC21400-23 Delacroix).</t>
  </si>
  <si>
    <t>Instrumente pentru chirurgie generală Foarfecă chirurgical METZENBAUM, 250mm ( 007854 )</t>
  </si>
  <si>
    <t>Instrumente pentru chirurgie generală Foarfecă chirurgical METZENBAUM, 250mm ( 007854 ), Foarfece chirurgical tip "METZENBAUM" mare, curb 250mm (+/- 10 mm).  *Reutilizabil, material inox medical., Bucată</t>
  </si>
  <si>
    <t xml:space="preserve">Instrumente pentru chirurgie generală. Foarfece chirurgical tip "METZENBAUM" mare, curb 250mm (+/- 10 mm). </t>
  </si>
  <si>
    <t>Instrumente pentru chirurgie generală Foarfecă chirurgical METZENBAUM, 300mm ( 007494 )</t>
  </si>
  <si>
    <t>Instrumente pentru chirurgie generală Foarfecă chirurgical METZENBAUM, 300mm ( 007494 ), Foarfece chirurgical tip ''METZENBAUM'' mare, curb 300mm (+/- 5 mm), 40x0,5mm.
*Reutilizabil, material inox medical., Bucată</t>
  </si>
  <si>
    <r>
      <t>Instrumente pentru chirurgie generală. Foarfece chirurgical tip ''METZENBAUM'' mare, curb 300mm (+/- 5 mm), 40mm.</t>
    </r>
    <r>
      <rPr>
        <b/>
        <sz val="8"/>
        <rFont val="Arial Narrow"/>
        <family val="2"/>
      </rPr>
      <t xml:space="preserve">
</t>
    </r>
  </si>
  <si>
    <t>Instrumente pentru chirurgie generală Foarfecă chirurgical STANDARD  130mm cu vârfuri ascuţite, drept ( 007856 )</t>
  </si>
  <si>
    <t>Instrumente pentru chirurgie generală Foarfecă chirurgical STANDARD  130mm cu vârfuri ascuţite, drept ( 007856 ), Foarfece cu ambele virfuri ascuţite drepte 130mm (+/- 5 mm).
Reutilizabil, material inox medical, nesteril, duritatea metalului în limitele 40-48 HRC confirmată prin certificat de la producător., Bucată</t>
  </si>
  <si>
    <t>Instrumente pentru chirurgie generală.  Foarfece cu ambele virfuri ascuţite drepte 130mm (+/- 5 mm).
Reutilizabil, material inox medical, nesteril, duritatea metalului în limitele 40-48 HRC confirmată prin certificat de la producător.</t>
  </si>
  <si>
    <t>Instrumente pentru chirurgie generală Foarfecă chirurgical STANDARD 140-150 mm cu vârfuri bonte vertical încovoiate ( 007514 )</t>
  </si>
  <si>
    <t>Instrumente pentru chirurgie generală Foarfecă chirurgical STANDARD 140-150 mm cu vârfuri bonte vertical încovoiate ( 007514 ), Foarfece cu vârfuri bonte vertical încovoiate 145-155 mm 
*Reutilizabil, material inox medical., Bucată</t>
  </si>
  <si>
    <t>Instrumente pentru chirurgie generală Foarfecă chirurgical STANDARD 140-150 mm cu vârfuri bonte vertical încovoiate.
*Reutilizabil, material inox medical.</t>
  </si>
  <si>
    <t>Instrumente pentru chirurgie generală Foarfecă chirurgical STANDARD 150mm cu vârfuri bonte, drepte ( 007496 )</t>
  </si>
  <si>
    <t>Instrumente pentru chirurgie generală Foarfecă chirurgical STANDARD 150mm cu vârfuri bonte, drepte ( 007496 ), Foarfece chirurgical STANDARD bonte, drepte 150mm  (+/- 5 mm)
*Reutilizabil, material inox medical., Bucată</t>
  </si>
  <si>
    <t>Instrumente pentru chirurgie generală. Foarfece chirurgical STANDARD bonte, drepte 150mm  (+/- 5 mm).
*Reutilizabil, material inox medical.</t>
  </si>
  <si>
    <t>Instrumente pentru chirurgie generală Foarfecă chirurgical STANDARD 155mm cu un vârf ascuţit, drept ( 007855 )</t>
  </si>
  <si>
    <t>Instrumente pentru chirurgie generală Foarfecă chirurgical STANDARD 155mm cu un vârf ascuţit, drept ( 007855 ), Foarfece cu un vârf ascuţit, drept 155 mm (+/- 10 mm). ♦Reutilizabil, material inox medical., Bucată</t>
  </si>
  <si>
    <t>Instrumente pentru chirurgie generală Foarfecă chirurgical STANDARD 155mm (+/- 10 mm) cu un vârf ascuţit, drept.
*Reutilizabil, material inox medical.</t>
  </si>
  <si>
    <t>Instrumente pentru chirurgie generală Foarfecă chirurgical STANDARD 165mm cu vârfuri ascuțite vertical încovoiate ( 007495 )</t>
  </si>
  <si>
    <t>Instrumente pentru chirurgie generală Foarfecă chirurgical STANDARD 165mm cu vârfuri ascuțite vertical încovoiate ( 007495 ), Foarfece chirurgical STANDARD,ascuțite, vertical încovoiate 165mm  (+/- 5 mm).
*Reutilizabil, material inox medical., Bucată</t>
  </si>
  <si>
    <t>Instrumente pentru chirurgie generală. Foarfece chirurgical STANDARD,ascuțite, vertical încovoiate 165mm  (+/- 5 mm).
*Reutilizabil, material inox medical.</t>
  </si>
  <si>
    <t>Instrumente pentru chirurgie generală Foarfecă chirurgical STANDARD 170mm cu vârfuri bonte vertical încovoiate ( 007499 )</t>
  </si>
  <si>
    <t>Instrumente pentru chirurgie generală Foarfecă chirurgical STANDARD 170mm cu vârfuri bonte vertical încovoiate ( 007499 ), Foarfece chirurgical STANDARD cu vârfuri bonte vertical încovoiate 170 mm  (+/- 5 mm),*Reutilizabil, material inox medical., Bucată</t>
  </si>
  <si>
    <t>Instrumente pentru chirurgie generală. Foarfece chirurgical STANDARD cu vârfuri bonte vertical încovoiate 170 mm  (+/- 5 mm).
*Reutilizabil, material inox medical.</t>
  </si>
  <si>
    <t>Instrumente pentru chirurgie generală Foarfecă chirurgicale Cooper, 130mm ( 007500 )</t>
  </si>
  <si>
    <t>Instrumente pentru chirurgie generală Foarfecă chirurgicale Cooper, 130mm ( 007500 ), Foarfece cu ambele virfuri bonte curbe 130mm  (+/- 5 mm).
Reutilizabil, material inox medical, nesteril, duritatea metalului în limitele 40-48 HRC confirmată prin certificat de la producator., Bucată</t>
  </si>
  <si>
    <t>Instrumente pentru chirurgie generală Foarfecă chirurgicale Cooper. Foarfece cu ambele virfuri bonte curbe 130mm  (+/- 5 mm).
Reutilizabil, material inox medical, nesteril, duritatea metalului în limitele 40-48 HRC confirmată prin certificat de la producator.</t>
  </si>
  <si>
    <t>Instrumente pentru chirurgie generală Foarfecă de disecție Baby-Metzenbaum, 145 mm ( 007501 )</t>
  </si>
  <si>
    <t>Instrumente pentru chirurgie generală Foarfecă de disecție Baby-Metzenbaum, 145 mm ( 007501 ), Foarfece de disecție tip Baby-Metzenbaum din aliaj de carbon cu wolfram, fin, vârf curbat bont/bont, lungimea 145 mm (+/-5 mm). Aliajul de carbon cu wolfram va fi specificat pe ambalajul produsului. Reutilizabil, material inox medical, nesteril, Bucată</t>
  </si>
  <si>
    <t>Instrumente pentru chirurgie generală. Foarfece de disecție tip Baby-Metzenbaum din aliaj de carbon cu wolfram, fin, vârf curbat bont/bont, lungimea 145 mm (+/-5 mm). 
Reutilizabil, material inox medical, nesteril.</t>
  </si>
  <si>
    <t>Instrumente pentru chirurgie generală Foarfecă de disecție Mayo, 140mm ( 007502 )</t>
  </si>
  <si>
    <t>Instrumente pentru chirurgie generală Foarfecă de disecție Mayo, 140mm ( 007502 ), Foarfece de disecție tip Mayo din aliaj de carbon cu wolfram, vîrf drept bont, acoperit cu un strat anti-reflecție, rezistență sporită împotriva coroziunii, lungimea 140-145 mm.
*Reutilizabil, material inox medical., Bucată</t>
  </si>
  <si>
    <t>Instrumente pentru chirurgie generală. Foarfece de disecție tip Mayo din aliaj de carbon cu wolfram, vîrf drept bont, acoperit cu un strat anti-reflecție, rezistență sporită împotriva coroziunii, lungimea 140-145 mm.
*Reutilizabil, material inox medical.</t>
  </si>
  <si>
    <t>Instrumente pentru chirurgie generală Foarfecă de disecție Mayo, 170mm ( 007503 )</t>
  </si>
  <si>
    <t>Instrumente pentru chirurgie generală Foarfecă de disecție Mayo, 170mm ( 007503 ), Foarfece de disecție tip Mayo din aliaj de carbon cu wolfram, branșe curbate, bont/bont, lungimea 170 mm (+/-5mm). Aliajul de carbon cu wolfram va fi specificat pe ambalajul produsului. Reutilizabil, material inox medical, nesteril, duritatea metalului în limitele 50-58 HRC confirmată prin certificat de la producător., Bucată</t>
  </si>
  <si>
    <t>Instrumente pentru chirurgie generală. Foarfece de disecție tip Mayo din aliaj de carbon cu wolfram, branșe curbate, bont/bont, lungimea 170 mm (+/-5mm).
Reutilizabil, material inox medical, nesteril, duritatea metalului în limitele 50-58 HRC confirmată prin certificat de la producător.</t>
  </si>
  <si>
    <t>Instrumente pentru chirurgie generală Foarfecă de disecție METZENBAUM-FINO, 180 mm ( 007504 )</t>
  </si>
  <si>
    <t>Instrumente pentru chirurgie generală Foarfecă de disecție METZENBAUM-FINO, 180 mm ( 007504 ), 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 Bucată</t>
  </si>
  <si>
    <t>Instrumente pentru chirurgie generală. 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t>
  </si>
  <si>
    <t>Instrumente pentru chirurgie generală Foarfecă KILNER(REGNELL) 17-18 cm ( 007505 )</t>
  </si>
  <si>
    <t>Instrumente pentru chirurgie generală Foarfecă KILNER(REGNELL) 17-18 cm ( 007505 ), Foarfece KILNER(REGNELL), lungimea 17-18 cm, vârful puțin curbat. 
*Reutilizabil, material inox medical., Bucată</t>
  </si>
  <si>
    <t>Instrumente pentru chirurgie generală. Foarfece KILNER(REGNELL), lungimea 17-18 cm, vârful puțin curbat. 
*Reutilizabil, material inox medical.</t>
  </si>
  <si>
    <t>Instrumente pentru chirurgie generală Foarfecă Nelson-METZENBAUM 250mm ( 007511 )</t>
  </si>
  <si>
    <t>Instrumente pentru chirurgie generală Foarfecă Nelson-METZENBAUM 250mm ( 007511 ), Foarfece Nelson-METZENBAUM abdominal. Branșe curbate, lungimea totală 250mm  (+/- 5 mm).
 Reutilizabil, material inox medical, nesteril, duritatea metalului în limitele 40-48 HRC confirmată prin certificat de la producator., Bucată</t>
  </si>
  <si>
    <t>Instrumente pentru chirurgie generală. Foarfece Nelson-METZENBAUM abdominal. Branșe curbate, lungimea totală 250mm  (+/- 5 mm).
 Reutilizabil, material inox medical, nesteril, duritatea metalului în limitele 40-48 HRC confirmată prin certificat de la producator.</t>
  </si>
  <si>
    <t>Instrumente pentru chirurgie generală Forceps pentru disecție BABY-MIXTER, 180mm ( 007517 )</t>
  </si>
  <si>
    <t>Instrumente pentru chirurgie generală Forceps pentru disecție BABY-MIXTER, 180mm ( 007517 ), Forceps pentru disecție tip BABY-MIXTER, cu branșele curbate, serate, lungimea 180 mm (+/-5mm). Reutilizabil, material inox medical, nesteril, duritatea metalului în limitele 50-58 HRC confirmată prin certificat de la producător., Bucată</t>
  </si>
  <si>
    <t>Instrumente pentru chirurgie generală. Forceps pentru disecție tip BABY-MIXTER, cu branșele curbate, serate, lungimea 180 mm (+/-5mm). 
Reutilizabil, material inox medical, nesteril, duritatea metalului în limitele 50-58 HRC confirmată prin certificat de la producător.</t>
  </si>
  <si>
    <t>Instrumente pentru chirurgie generală Mâner  bisturiu N4 ( 007525 )</t>
  </si>
  <si>
    <t>Instrumente pentru chirurgie generală Mâner  bisturiu N4 ( 007525 ), Portlama n 4. Compatibila cu lama N 20,22,23. Lungimea manerului 135-140 mm. 
*Reutilizabil, material inox medical., Bucată</t>
  </si>
  <si>
    <t>Instrumente pentru chirurgie generală. Mâner bisturiu N4. Compatibila cu lama N 20,22,23. Lungimea manerului 135-140 mm. 
*Reutilizabil, material inox medical</t>
  </si>
  <si>
    <t>Instrumente pentru chirurgie generală Mâner bisturiu N3 ( 007711 )</t>
  </si>
  <si>
    <t>Instrumente pentru chirurgie generală Mâner bisturiu N3 ( 007711 ), Miner bisturiu N3 compatibilă cu lama 10,11,12,15. Lungimea manerului 125-130 mm.
*Reutilizabil, material inox medical., Bucată</t>
  </si>
  <si>
    <t>Instrumente pentru chirurgie generală. Mâner bisturiu N3 compatibilă cu lama 10,11,12,15. Lungimea manerului 125-130 mm.
*Reutilizabil, material inox medical</t>
  </si>
  <si>
    <t>Instrumente pentru chirurgie generală Pensă ALLIS ( 007534 )</t>
  </si>
  <si>
    <t>Instrumente pentru chirurgie generală Pensă ALLIS ( 007534 ), Pesa ALLIS 190mm (+/- 5 mm).
*Reutilizabil, material inox medical., Bucată</t>
  </si>
  <si>
    <t>Instrumente pentru chirurgie generală. Pesa ALLIS 190mm (+/- 5 mm).
*Reutilizabil, material inox medical</t>
  </si>
  <si>
    <t>Instrumente pentru chirurgie generală Pensă ALLIS-BABY ( 007535 )</t>
  </si>
  <si>
    <t>Instrumente pentru chirurgie generală Pensă ALLIS-BABY ( 007535 ), Pesa ALISS-BABY 140 mm (+/- 5 mm).
*Reutilizabil, material inox medical., Bucată</t>
  </si>
  <si>
    <t>Instrumente pentru chirurgie generală. Pesa ALISS-BABY 140 mm (+/- 5 mm).
*Reutilizabil, material inox medical</t>
  </si>
  <si>
    <t>Instrumente pentru chirurgie generală Pensă anatomica cu izolare ( 007536 )</t>
  </si>
  <si>
    <t>Instrumente pentru chirurgie generală Pensă anatomica cu izolare ( 007536 ), Penceta anatomica cu izolare. L - 250mm (+/- 10 mm),portiunea neizolata spre virf -10mm , latimea virfului- 2mm.
*Reutilizabil, material inox medical., Bucată</t>
  </si>
  <si>
    <t>Instrumente pentru chirurgie generală. Penceta anatomica cu izolare. L - 250mm (+/- 10 mm), portiunea neizolata spre virf -10mm , latimea virfului- 2mm.
*Reutilizabil, material inox medical</t>
  </si>
  <si>
    <t>Instrumente pentru chirurgie generală Pensă atraumatic DE BAKEY, 200mm ( 007540 )</t>
  </si>
  <si>
    <t>Instrumente pentru chirurgie generală Pensă atraumatic DE BAKEY, 200mm ( 007540 ), Pencet atraumatic DE BAKEY,  lunjimea 200mm  (+/- 5 mm),  grosimea branșei de clemare 2,0mm. 
*Reutilizabil, material inox medical., Bucată</t>
  </si>
  <si>
    <t>Instrumente pentru chirurgie generală. Pencet atraumatic DE BAKEY,  lunjimea 200mm  (+/- 5 mm),  grosimea branșei de clemare 2,0mm. 
*Reutilizabil, material inox medical</t>
  </si>
  <si>
    <t>Instrumente pentru chirurgie generală Pensă cu cremaliera  (Mikulicz) ( 007547 )</t>
  </si>
  <si>
    <t>Instrumente pentru chirurgie generală Pensă cu cremaliera  (Mikulicz) ( 007547 ), Pensa peritoneu Mikulicz  curbă cu cremaliera, 195mm (+/-5mm). Dinți 1:2
*Reutilizabil, material inox medical., Bucată</t>
  </si>
  <si>
    <t>Instrumente pentru chirurgie generală. Pensa peritoneu Mikulicz  curbă cu cremaliera, 195mm (+/-5mm). Dinți 1:2.
*Reutilizabil, material inox medical</t>
  </si>
  <si>
    <t>Instrumente pentru chirurgie generală Pensă STANDARD anatomica  200 ( 007538 )</t>
  </si>
  <si>
    <t>Instrumente pentru chirurgie generală Pensă STANDARD anatomica  200 ( 007538 ), Penceta anatomica STANDARD L-200 mm (+/- 5 mm),  200х2,5mm.
*Reutilizabil, material inox medical., Bucată</t>
  </si>
  <si>
    <t>Instrumente pentru chirurgie generală. Penceta anatomica STANDARD L-200 mm (+/- 5 mm),  vârf lățime 2,5mm.
*Reutilizabil, material inox medical</t>
  </si>
  <si>
    <t>Instrumente pentru chirurgie generală Pensă STANDARD anatomica  250 ( 007539 )</t>
  </si>
  <si>
    <t>Instrumente pentru chirurgie generală Pensă STANDARD anatomica  250 ( 007539 ), Pencet anatomic lungimea 250mm  (+/- 5 mm), parte de lucru 10-12mm, varf latime 2,0mm, 
*Reutilizabil, material inox medical., Bucată</t>
  </si>
  <si>
    <t>Instrumente pentru chirurgie generală Pensă STANDARD anatomic lungimea 250mm  (+/- 5 mm), parte de lucru 20-40mm, varf latime 2,0mm. 
*Reutilizabil, material inox medical</t>
  </si>
  <si>
    <t>Instrumente pentru chirurgie generală Pensă STANDARD chirurgicală , 150 mm ( 007544 )</t>
  </si>
  <si>
    <t>Instrumente pentru chirurgie generală Pensă STANDARD chirurgicală , 150 mm ( 007544 ), Penseta chirurgical standart cu dinti ce se intrepatrund lungimea 150mm  (+/- 5 mm) dintii 2,0-2,5mm ½ pentru prinderea si prezentarea unor structuri mai rezistente ( piele , aponevroza )
*Reutilizabil, material inox medical., Bucată</t>
  </si>
  <si>
    <t>Instrumente pentru chirurgie generală. Pensetă chirurgical standart cu dinți ce se intrepătrund, lungimea 150mm  (+/- 5 mm), dinții 2,0-2,5mm ½ pentru prinderea si prezentarea unor structuri mai rezistente ( piele , aponevroza ).
*Reutilizabil, material inox medical</t>
  </si>
  <si>
    <t>Instrumente pentru chirurgie generală Pensă STANDARD chirurgicală , 160 mm ( 007545 )</t>
  </si>
  <si>
    <t>Instrumente pentru chirurgie generală Pensă STANDARD chirurgicală , 160 mm ( 007545 ), Pensetă chirurgicală STANDARD, L-160 mm (+/- 5 mm) , 160x2,5mm, 1x2.
*Reutilizabil, material inox medical., Bucată</t>
  </si>
  <si>
    <t>Instrumente pentru chirurgie generală. Pensetă chirurgicală STANDARD, L-160 mm (+/- 5 mm) , vârf lățime 2,5mm, 1x2.
*Reutilizabil, material inox medical</t>
  </si>
  <si>
    <t>Instrumente pentru chirurgie generală Retractor tip ADSON ( 007785 )</t>
  </si>
  <si>
    <t>Instrumente pentru chirurgie generală Retractor tip ADSON ( 007785 ), Retractor tip ADSON, cu dinți 4x4, semi-ascuțit, cu lacăt, lungime 215 mm (+/-10mm), branșe semi-mobile. Reutilizabil, material inox medical, nesteril, duritatea metalului în limitele 40-48 HRC confirmată prin certificat de la producător., Bucată</t>
  </si>
  <si>
    <t>Instrumente pentru chirurgie generală Sonda butonata ( 007939 )</t>
  </si>
  <si>
    <t>Instrumente pentru chirurgie generală Sonda butonata ( 007939 ), Sonda butonat instrument utilizat pentru explorarea traiectului unei fistule sau a unei plagi traumatice.
Lungimea 14cm  (+/-10mm). Material inox., Bucată</t>
  </si>
  <si>
    <t>Instrumente pentru chirurgie generală. Sonda butonat instrument utilizat pentru explorarea traiectului unei fistule sau a unei plagi traumatice.
Lungimea 14cm  (+/-10mm).</t>
  </si>
  <si>
    <t>Instrumente pentru disecție Cuţit Slicing ( 007829 )</t>
  </si>
  <si>
    <t>Instrumente pentru disecție Cuţit Slicing ( 007829 ), Cuțit forjat cu dimensiunea lamei de 22,0 mm pentru secțiunare în serie. (Cod referinta DDP-PM/118 sau analog), Bucată</t>
  </si>
  <si>
    <t>Instrumente pentru disecție. Cuțit forjat cu dimensiunea lamei de 22,0 mm pentru secțiunare în serie. (Cod referinta DDP-PM/118 sau analog).</t>
  </si>
  <si>
    <t>Instrumente pentru disecție Decolator periostal de tip Cobb. ( 007840 )</t>
  </si>
  <si>
    <t>Instrumente pentru disecție Decolator periostal de tip Cobb. ( 007840 ), Lungimea 280 mm (+/-10mm), latimea lama de 19 mm. Reutilizabil, material inox medical, nesteril, duritatea metalului în limitele 50-58 HRC confirmată prin certificat de la producător., Bucată</t>
  </si>
  <si>
    <t>Instrumente pentru disecție Decolator periostal de tip Cobb. Lungimea 280 mm (+/-10mm), latimea lama de 19 mm. 
Reutilizabil, material inox medical, nesteril, duritatea metalului în limitele 50-58 HRC confirmată prin certificat de la producător.</t>
  </si>
  <si>
    <t>Instrumente pentru electrochirurgie Electrod tip L (Hook) ( 007483 )</t>
  </si>
  <si>
    <t>Instrumente pentru electrochirurgie Electrod tip L (Hook) ( 007483 ), Electrod de coagulare și disecție, în formă de L,  D-5mm; L- 330± 30mm, varf - cirlig in forma de L , cu conector pin tpi tata ᴓ4mm.  pentru coagulare monopolară.
*Reutilizabil, material inox medical., Bucată</t>
  </si>
  <si>
    <t>Instrumente pentru electrochirurgie Electrod tip L (Hook). Electrod de coagulare și disecție, în formă de L,  D-5mm; L- 330± 30mm, varf - cirlig in forma de L , cu conector pin tpi tata ᴓ4mm.  pentru coagulare monopolară.
*Reutilizabil, material inox medical.</t>
  </si>
  <si>
    <t>Instrumente pentru electrochirurgie Electrod tip L (Hook), 45 grade stânga ( 007484 )</t>
  </si>
  <si>
    <t>Instrumente pentru electrochirurgie Electrod tip L (Hook), 45 grade stânga ( 007484 ), Electrod de coagulare și disecție, în formă de L,  D-5mm; L- 330± 30mm, varf - cirlig in forma de L , cu conector pin tip tata ᴓ4mm.  tip,,carlig,,bont, unghi 45°,spre stânga. 
*Reutilizabil, material inox medical., Bucată</t>
  </si>
  <si>
    <t>Instrumente pentru electrochirurgie Electrod tip L (Hook). Electrod de coagulare și disecție, în formă de L,  D-5mm; L- 330± 30mm, varf - cirlig in forma de L , cu conector pin tip tata ᴓ4mm.  tip,,carlig,,bont, unghi 45°,spre stânga. 
*Reutilizabil, material inox medical.</t>
  </si>
  <si>
    <t>Instrumente pentru electrochirurgie Electrodul cu bilă antiaderentă ( 007823 )</t>
  </si>
  <si>
    <t>Instrumente pentru electrochirurgie Electrodul cu bilă antiaderentă ( 007823 ), GYN. Electrod cu bilă antiaderentă Tips diametru bilă 4.34mm, drum prelungit, conector 1.6mm, (cod referintă: Nr.TD10B/4. EM151.2C-1,6), Bucată</t>
  </si>
  <si>
    <t>Instrumente pentru electrochirurgie. GYN. Electrod cu bilă antiaderentă Tips diametru bilă 4.34mm, drum prelungit, conector 1.6mm, (cod referintă: Nr.TD10B/4. EM151.2C-1,6).</t>
  </si>
  <si>
    <t>Instrumente pentru electrochirurgie Foarfecă bipolară curbată ( 007852 )</t>
  </si>
  <si>
    <t>Instrumente pentru electrochirurgie Foarfecă bipolară curbată ( 007852 ), Foarfecă bipolară curbată D=5 mm, L=330-350 mm., Bucată</t>
  </si>
  <si>
    <t>Instrumente pentru electrochirurgie. Foarfecă bipolară curbată D=5 mm, L=330-350 mm.</t>
  </si>
  <si>
    <t>Instrumente pentru electrochirurgie Lamă sterilă de utilizare unucă pentru forceps/pensă TERMOCUT ( 007885 )</t>
  </si>
  <si>
    <t>Instrumente pentru electrochirurgie Lamă sterilă de utilizare unucă pentru forceps/pensă TERMOCUT ( 007885 ), Lamă sterilă de utilizare unucă pentru forceps/pensă TERMOCUT, Lg 54,5 mm Lamidey Noury Medical, Bucată</t>
  </si>
  <si>
    <t>Instrumente pentru electrochirurgie. Lamă sterilă de utilizare unucă pentru forceps/pensă TERMOCUT, Lg 54,5 mm Lamidey Noury Medical.</t>
  </si>
  <si>
    <t>Instrumente pentru electrochirurgie Pensă bipolară de coagulare fenestrată ascuţită ( 007894 )</t>
  </si>
  <si>
    <t>Instrumente pentru electrochirurgie Pensă bipolară de coagulare fenestrată ascuţită ( 007894 ), Pensă bipolară de coagulare fenestrată ascuşită D=5 mm, L=330-350 mm, Bucată</t>
  </si>
  <si>
    <t>Instrumente pentru electrochirurgie. Pensă bipolară de coagulare fenestrată ascuşită D=5 mm, L=330-350 mm.</t>
  </si>
  <si>
    <t>Instrumente pentru electrochirurgie Pensă bipolară de coagulare fenestrată Grasping ( 007895 )</t>
  </si>
  <si>
    <t>Instrumente pentru electrochirurgie Pensă bipolară de coagulare fenestrată Grasping ( 007895 ), Pensă bipolară de coagulare fenestrată Grasping D=5 mm, L=330-350 mm, Bucată</t>
  </si>
  <si>
    <t>Instrumente pentru electrochirurgie. Pensă bipolară de coagulare fenestrată Grasping D=5 mm, L=330-350 mm.</t>
  </si>
  <si>
    <t>Instrumente pentru electrochirurgie Pensă tip Maryland de coagulare sectionare si disecție tehnologie Legasure ( 007582 )</t>
  </si>
  <si>
    <t>Instrumente pentru electrochirurgie Pensă tip Maryland de coagulare sectionare si disecție tehnologie Legasure ( 007582 ), L-370mm  (+/- 5 mm), D- 5mm. Tip Maryland cu vîrfuri bonte, curbate,  deschidere cu acțiune dublă, cu serații transversale.
*Reutilizabil, material inox medical., Bucată</t>
  </si>
  <si>
    <t>Instrumente pentru electrochirurgie. Pensă de coagulare sectionare si disecție tehnologie Legasure, L-370mm  (+/- 5 mm), D- 5mm. Tip Maryland cu vîrfuri bonte, curbate,  deschidere cu acțiune dublă, cu serații transversale.
*Reutilizabil, material inox medical.</t>
  </si>
  <si>
    <t>Instrumente pentru microchirurgie Disector pentru vase Baby MIXTER ( 007682 )</t>
  </si>
  <si>
    <t>Instrumente pentru microchirurgie Disector pentru vase Baby MIXTER ( 007682 ), Disector fin pentru vase Baby MIXTER Forceps Lungimea INSTRUtrumentului 17cm (+/-5cm), bransele curbate (Asemanator codului de referinta Aesculap BJ012R), Bucată</t>
  </si>
  <si>
    <t>Instrumente pentru microchirurgie. Disector fin pentru vase Baby MIXTER. Forceps Lungimea instrumentului 17cm (+/-5cm), bransele curbate (Asemanator codului de referinta Aesculap BJ012R).</t>
  </si>
  <si>
    <t>Instrumente pentru microchirurgie Disector tip Fisch cu curbura dublu  (curbat in stinga) ( 007683 )</t>
  </si>
  <si>
    <t>Instrumente pentru microchirurgie Disector tip Fisch cu curbura dublu  (curbat in stinga) ( 007683 ), Fisch dissector,dublu curbat la stinga, lungimea totala 16,5 cm (±10mm),inox medical,reutilizabil, Bucată</t>
  </si>
  <si>
    <t>Instrumente pentru microchirurgie Disector tip Fisch dissector,dublu curbat la stinga, lungimea totala 16,5 cm (±10mm), inox medical, reutilizabil.</t>
  </si>
  <si>
    <t>Instrumente pentru microchirurgie Disector tip Fisch cu curbura dublu (curbat in dreapta) ( 007684 )</t>
  </si>
  <si>
    <t>Instrumente pentru microchirurgie Disector tip Fisch cu curbura dublu (curbat in dreapta) ( 007684 ), Fisch dissector,dublu curbat la dreapta, lungimea totala 16,5 cm (±10mm),inox medical,reutilizabil, Bucată</t>
  </si>
  <si>
    <t>Instrumente pentru microchirurgie Disector tip Fisch dissector,dublu curbat la dreapta, lungimea totala 16,5 cm (±10mm), inox medical, reutilizabil.</t>
  </si>
  <si>
    <t>Instrumente pentru microchirurgie Disector tip Fisch cu curbura simpla(curbat in dreapta) ( 007685 )</t>
  </si>
  <si>
    <t>Instrumente pentru microchirurgie Disector tip Fisch cu curbura simpla(curbat in dreapta) ( 007685 ), Disector Fisch, curbura simpla, la dreapta, lungimea totala 16.5 cm (±10mm),inox medical,reutilizabil, Bucată</t>
  </si>
  <si>
    <t>Instrumente pentru microchirurgie Disector tip Fisch, curbura simpla, la dreapta, lungimea totala 16.5 cm (±10mm), inox medical, reutilizabil.</t>
  </si>
  <si>
    <t>Instrumente pentru microchirurgie Disector tip Penfield ( 007482 )</t>
  </si>
  <si>
    <t>Instrumente pentru microchirurgie Disector tip Penfield ( 007482 ), Disector tip Penfield, lungime 205 mm (+/-5mm), bont, ușor curbată, mâner rotund, capăt distal curbat. Reutilizabil, material inox medical, nesteril., Bucată</t>
  </si>
  <si>
    <t>Instrumente pentru microchirurgie Disector tip Penfield, lungime 205 mm (+/-5mm), bont, ușor curbată, mâner rotund, capăt distal curbat.
Reutilizabil, material inox medical, nesteril.</t>
  </si>
  <si>
    <t>Instrumente pentru microchirurgie Dissector tip Fisch cu curbura simpla(curbat in stinga) ( 007686 )</t>
  </si>
  <si>
    <t>Instrumente pentru microchirurgie Dissector tip Fisch cu curbura simpla(curbat in stinga) ( 007686 ), Disector Fisch, curbura simpla, la stinga, lungimea totala 16.5 cm (±10mm),inox medical,reutilizabil, Bucată</t>
  </si>
  <si>
    <t>Instrumente pentru microchirurgie Dissector tip Fisch, curbura simpla, la stinga, lungimea totala 16.5 cm (±10mm), inox medical, reutilizabil.</t>
  </si>
  <si>
    <r>
      <t xml:space="preserve">Instrumente pentru chirurgie generală. Retractor tip ADSON, cu dinți 4x4, semi-ascuțit, cu lacăt, lungime </t>
    </r>
    <r>
      <rPr>
        <b/>
        <sz val="8"/>
        <color rgb="FFFF0000"/>
        <rFont val="Arial Narrow"/>
        <family val="2"/>
      </rPr>
      <t>210 mm (+/-10mm)</t>
    </r>
    <r>
      <rPr>
        <b/>
        <sz val="8"/>
        <rFont val="Arial Narrow"/>
        <family val="2"/>
      </rPr>
      <t>, branșe semi-mobile. 
Reutilizabil, material inox medical, nesteril, duritatea metalului în limitele 40-48 HRC confirmată prin certificat de la producător.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</si>
</sst>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Arial"/>
      <family val="2"/>
    </font>
    <font>
      <b/>
      <sz val="8"/>
      <name val="Arial Narrow"/>
      <family val="2"/>
    </font>
    <font>
      <b/>
      <sz val="8"/>
      <color indexed="18"/>
      <name val="Arial Narrow"/>
      <family val="2"/>
    </font>
    <font>
      <b/>
      <sz val="8"/>
      <color indexed="12"/>
      <name val="Arial Narrow"/>
      <family val="2"/>
    </font>
    <font>
      <b/>
      <sz val="8"/>
      <name val="Arial Narrow"/>
    </font>
    <font>
      <b/>
      <sz val="8"/>
      <name val="Calibri"/>
      <family val="2"/>
    </font>
    <font>
      <b/>
      <sz val="8"/>
      <color rgb="FFFF0000"/>
      <name val="Arial Narrow"/>
      <family val="2"/>
    </font>
  </fonts>
  <fills count="7">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s>
  <borders count="3">
    <border>
      <left/>
      <right/>
      <top/>
      <bottom/>
      <diagonal/>
    </border>
    <border>
      <left style="thin">
        <color indexed="60"/>
      </left>
      <right style="thin">
        <color indexed="60"/>
      </right>
      <top style="thin">
        <color indexed="60"/>
      </top>
      <bottom style="thin">
        <color indexed="60"/>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27">
    <xf numFmtId="0" fontId="0" fillId="0" borderId="0" xfId="0"/>
    <xf numFmtId="0" fontId="1" fillId="0" borderId="0" xfId="1"/>
    <xf numFmtId="0" fontId="2" fillId="0" borderId="0" xfId="1" applyFont="1" applyAlignment="1">
      <alignment vertical="top"/>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1" xfId="1" applyFont="1" applyFill="1" applyBorder="1" applyAlignment="1">
      <alignment horizontal="center" vertical="center" wrapText="1" indent="1"/>
    </xf>
    <xf numFmtId="0" fontId="3" fillId="3" borderId="2" xfId="1" applyFont="1" applyFill="1" applyBorder="1" applyAlignment="1">
      <alignment vertical="top" wrapText="1"/>
    </xf>
    <xf numFmtId="2" fontId="4" fillId="3" borderId="2" xfId="1" applyNumberFormat="1" applyFont="1" applyFill="1" applyBorder="1" applyAlignment="1">
      <alignment horizontal="right" vertical="center" indent="1"/>
    </xf>
    <xf numFmtId="4" fontId="4" fillId="3" borderId="2" xfId="1" applyNumberFormat="1" applyFont="1" applyFill="1" applyBorder="1" applyAlignment="1">
      <alignment horizontal="right" vertical="center" indent="1"/>
    </xf>
    <xf numFmtId="4" fontId="3" fillId="3" borderId="2" xfId="1" applyNumberFormat="1" applyFont="1" applyFill="1" applyBorder="1" applyAlignment="1">
      <alignment horizontal="right" vertical="center" indent="1"/>
    </xf>
    <xf numFmtId="0" fontId="2" fillId="0" borderId="2" xfId="1" applyFont="1" applyBorder="1" applyAlignment="1">
      <alignment vertical="top" wrapText="1" indent="2"/>
    </xf>
    <xf numFmtId="0" fontId="5" fillId="0" borderId="2" xfId="1" applyFont="1" applyBorder="1" applyAlignment="1">
      <alignment vertical="top" wrapText="1" indent="2"/>
    </xf>
    <xf numFmtId="0" fontId="4" fillId="0" borderId="2" xfId="1" applyFont="1" applyBorder="1" applyAlignment="1">
      <alignment horizontal="right" vertical="center" indent="1"/>
    </xf>
    <xf numFmtId="2" fontId="4" fillId="0" borderId="2" xfId="1" applyNumberFormat="1" applyFont="1" applyBorder="1" applyAlignment="1">
      <alignment horizontal="right" vertical="center" indent="1"/>
    </xf>
    <xf numFmtId="4" fontId="2" fillId="0" borderId="2" xfId="1" applyNumberFormat="1" applyFont="1" applyBorder="1" applyAlignment="1">
      <alignment horizontal="right" vertical="center" indent="1"/>
    </xf>
    <xf numFmtId="2" fontId="2" fillId="0" borderId="2" xfId="1" applyNumberFormat="1" applyFont="1" applyBorder="1" applyAlignment="1">
      <alignment horizontal="right" vertical="center" indent="1"/>
    </xf>
    <xf numFmtId="0" fontId="2" fillId="4" borderId="2" xfId="1" applyFont="1" applyFill="1" applyBorder="1" applyAlignment="1">
      <alignment vertical="top" wrapText="1" indent="2"/>
    </xf>
    <xf numFmtId="0" fontId="2" fillId="5" borderId="2" xfId="1" applyFont="1" applyFill="1" applyBorder="1" applyAlignment="1">
      <alignment vertical="top" wrapText="1" indent="2"/>
    </xf>
    <xf numFmtId="0" fontId="2" fillId="6" borderId="2" xfId="1" applyFont="1" applyFill="1" applyBorder="1" applyAlignment="1">
      <alignment vertical="top" wrapText="1" indent="2"/>
    </xf>
    <xf numFmtId="4" fontId="4" fillId="0" borderId="2" xfId="1" applyNumberFormat="1" applyFont="1" applyBorder="1" applyAlignment="1">
      <alignment horizontal="right" vertical="center" indent="1"/>
    </xf>
    <xf numFmtId="0" fontId="4" fillId="6" borderId="2" xfId="1" applyFont="1" applyFill="1" applyBorder="1" applyAlignment="1">
      <alignment horizontal="right" vertical="center" indent="1"/>
    </xf>
    <xf numFmtId="2" fontId="4" fillId="6" borderId="2" xfId="1" applyNumberFormat="1" applyFont="1" applyFill="1" applyBorder="1" applyAlignment="1">
      <alignment horizontal="right" vertical="center" indent="1"/>
    </xf>
    <xf numFmtId="4" fontId="2" fillId="6" borderId="2" xfId="1" applyNumberFormat="1" applyFont="1" applyFill="1" applyBorder="1" applyAlignment="1">
      <alignment horizontal="right" vertical="center" indent="1"/>
    </xf>
    <xf numFmtId="0" fontId="0" fillId="6" borderId="0" xfId="0" applyFill="1"/>
    <xf numFmtId="0" fontId="3" fillId="2" borderId="1" xfId="1" applyFont="1" applyFill="1" applyBorder="1" applyAlignment="1">
      <alignment vertical="top"/>
    </xf>
    <xf numFmtId="4" fontId="4" fillId="2" borderId="1" xfId="1" applyNumberFormat="1" applyFont="1" applyFill="1" applyBorder="1" applyAlignment="1">
      <alignment horizontal="right" vertical="center" indent="1"/>
    </xf>
    <xf numFmtId="4" fontId="3" fillId="2" borderId="1" xfId="1" applyNumberFormat="1" applyFont="1" applyFill="1" applyBorder="1" applyAlignment="1">
      <alignment horizontal="right" vertical="center" indent="1"/>
    </xf>
  </cellXfs>
  <cellStyles count="2">
    <cellStyle name="Normal" xfId="0" builtinId="0"/>
    <cellStyle name="Normal_Sheet1" xfId="1" xr:uid="{107D11B1-5DE9-404C-959B-8A139CBA57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E49E7-8819-41D3-95C7-001058B545E3}">
  <dimension ref="A1:BI304"/>
  <sheetViews>
    <sheetView tabSelected="1" topLeftCell="A280" workbookViewId="0">
      <selection activeCell="I285" sqref="I285"/>
    </sheetView>
  </sheetViews>
  <sheetFormatPr defaultRowHeight="15" x14ac:dyDescent="0.25"/>
  <cols>
    <col min="1" max="1" width="10.5703125" customWidth="1"/>
    <col min="2" max="2" width="39.140625" hidden="1" customWidth="1"/>
    <col min="3" max="3" width="29.85546875" customWidth="1"/>
    <col min="4" max="4" width="44.140625" hidden="1" customWidth="1"/>
    <col min="5" max="5" width="44.140625" customWidth="1"/>
    <col min="6" max="6" width="10.42578125" customWidth="1"/>
    <col min="7" max="59" width="9.140625" customWidth="1"/>
    <col min="61" max="61" width="16.140625" hidden="1" customWidth="1"/>
  </cols>
  <sheetData>
    <row r="1" spans="1:6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row>
    <row r="2" spans="1:61" x14ac:dyDescent="0.25">
      <c r="A2" s="2"/>
      <c r="B2" s="2" t="s">
        <v>0</v>
      </c>
      <c r="C2" s="2"/>
      <c r="D2" s="2"/>
      <c r="E2" s="2"/>
      <c r="F2" s="2"/>
      <c r="G2" s="2" t="s">
        <v>1</v>
      </c>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row>
    <row r="3" spans="1:6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row>
    <row r="4" spans="1:61" ht="102" x14ac:dyDescent="0.25">
      <c r="A4" s="3" t="s">
        <v>2</v>
      </c>
      <c r="B4" s="3" t="s">
        <v>3</v>
      </c>
      <c r="C4" s="3" t="s">
        <v>4</v>
      </c>
      <c r="D4" s="3" t="s">
        <v>5</v>
      </c>
      <c r="E4" s="3" t="s">
        <v>6</v>
      </c>
      <c r="F4" s="3" t="s">
        <v>7</v>
      </c>
      <c r="G4" s="3" t="s">
        <v>8</v>
      </c>
      <c r="H4" s="3" t="s">
        <v>9</v>
      </c>
      <c r="I4" s="3" t="s">
        <v>10</v>
      </c>
      <c r="J4" s="3" t="s">
        <v>11</v>
      </c>
      <c r="K4" s="3" t="s">
        <v>12</v>
      </c>
      <c r="L4" s="3" t="s">
        <v>13</v>
      </c>
      <c r="M4" s="3" t="s">
        <v>14</v>
      </c>
      <c r="N4" s="3" t="s">
        <v>15</v>
      </c>
      <c r="O4" s="3" t="s">
        <v>16</v>
      </c>
      <c r="P4" s="3" t="s">
        <v>17</v>
      </c>
      <c r="Q4" s="3" t="s">
        <v>18</v>
      </c>
      <c r="R4" s="3" t="s">
        <v>19</v>
      </c>
      <c r="S4" s="3" t="s">
        <v>20</v>
      </c>
      <c r="T4" s="3" t="s">
        <v>21</v>
      </c>
      <c r="U4" s="3" t="s">
        <v>22</v>
      </c>
      <c r="V4" s="3" t="s">
        <v>23</v>
      </c>
      <c r="W4" s="3" t="s">
        <v>24</v>
      </c>
      <c r="X4" s="3" t="s">
        <v>25</v>
      </c>
      <c r="Y4" s="3" t="s">
        <v>26</v>
      </c>
      <c r="Z4" s="3" t="s">
        <v>27</v>
      </c>
      <c r="AA4" s="3" t="s">
        <v>28</v>
      </c>
      <c r="AB4" s="3" t="s">
        <v>29</v>
      </c>
      <c r="AC4" s="3" t="s">
        <v>30</v>
      </c>
      <c r="AD4" s="3" t="s">
        <v>31</v>
      </c>
      <c r="AE4" s="3" t="s">
        <v>32</v>
      </c>
      <c r="AF4" s="3" t="s">
        <v>33</v>
      </c>
      <c r="AG4" s="3" t="s">
        <v>34</v>
      </c>
      <c r="AH4" s="3" t="s">
        <v>35</v>
      </c>
      <c r="AI4" s="3" t="s">
        <v>36</v>
      </c>
      <c r="AJ4" s="3" t="s">
        <v>37</v>
      </c>
      <c r="AK4" s="3" t="s">
        <v>38</v>
      </c>
      <c r="AL4" s="3" t="s">
        <v>39</v>
      </c>
      <c r="AM4" s="3" t="s">
        <v>40</v>
      </c>
      <c r="AN4" s="3" t="s">
        <v>41</v>
      </c>
      <c r="AO4" s="3" t="s">
        <v>42</v>
      </c>
      <c r="AP4" s="3" t="s">
        <v>43</v>
      </c>
      <c r="AQ4" s="3" t="s">
        <v>44</v>
      </c>
      <c r="AR4" s="3" t="s">
        <v>45</v>
      </c>
      <c r="AS4" s="3" t="s">
        <v>46</v>
      </c>
      <c r="AT4" s="3" t="s">
        <v>47</v>
      </c>
      <c r="AU4" s="3" t="s">
        <v>48</v>
      </c>
      <c r="AV4" s="3" t="s">
        <v>49</v>
      </c>
      <c r="AW4" s="3" t="s">
        <v>50</v>
      </c>
      <c r="AX4" s="3" t="s">
        <v>51</v>
      </c>
      <c r="AY4" s="3" t="s">
        <v>52</v>
      </c>
      <c r="AZ4" s="3" t="s">
        <v>53</v>
      </c>
      <c r="BA4" s="3" t="s">
        <v>54</v>
      </c>
      <c r="BB4" s="3" t="s">
        <v>55</v>
      </c>
      <c r="BC4" s="3" t="s">
        <v>56</v>
      </c>
      <c r="BD4" s="3" t="s">
        <v>57</v>
      </c>
      <c r="BE4" s="3" t="s">
        <v>58</v>
      </c>
      <c r="BF4" s="3" t="s">
        <v>59</v>
      </c>
      <c r="BG4" s="3" t="s">
        <v>60</v>
      </c>
      <c r="BH4" s="4" t="s">
        <v>61</v>
      </c>
      <c r="BI4" s="5" t="s">
        <v>62</v>
      </c>
    </row>
    <row r="5" spans="1:61" x14ac:dyDescent="0.25">
      <c r="A5" s="6"/>
      <c r="B5" s="6" t="s">
        <v>63</v>
      </c>
      <c r="C5" s="6"/>
      <c r="D5" s="6" t="s">
        <v>63</v>
      </c>
      <c r="E5" s="6"/>
      <c r="F5" s="6"/>
      <c r="G5" s="7">
        <v>70</v>
      </c>
      <c r="H5" s="7">
        <v>155</v>
      </c>
      <c r="I5" s="7">
        <v>386</v>
      </c>
      <c r="J5" s="7">
        <v>289</v>
      </c>
      <c r="K5" s="7">
        <v>168</v>
      </c>
      <c r="L5" s="7">
        <v>362</v>
      </c>
      <c r="M5" s="7">
        <v>1</v>
      </c>
      <c r="N5" s="7">
        <v>3</v>
      </c>
      <c r="O5" s="7">
        <v>36</v>
      </c>
      <c r="P5" s="7">
        <v>3</v>
      </c>
      <c r="Q5" s="7">
        <v>1</v>
      </c>
      <c r="R5" s="7">
        <v>2</v>
      </c>
      <c r="S5" s="7">
        <v>26</v>
      </c>
      <c r="T5" s="7">
        <v>12</v>
      </c>
      <c r="U5" s="7">
        <v>4</v>
      </c>
      <c r="V5" s="7">
        <v>21</v>
      </c>
      <c r="W5" s="7">
        <v>26</v>
      </c>
      <c r="X5" s="8">
        <v>2852</v>
      </c>
      <c r="Y5" s="7">
        <v>217</v>
      </c>
      <c r="Z5" s="8">
        <v>2860</v>
      </c>
      <c r="AA5" s="7">
        <v>17</v>
      </c>
      <c r="AB5" s="7">
        <v>10</v>
      </c>
      <c r="AC5" s="8">
        <v>2465</v>
      </c>
      <c r="AD5" s="8">
        <v>1371</v>
      </c>
      <c r="AE5" s="7">
        <v>600</v>
      </c>
      <c r="AF5" s="7">
        <v>228</v>
      </c>
      <c r="AG5" s="7">
        <v>282</v>
      </c>
      <c r="AH5" s="8">
        <v>3061</v>
      </c>
      <c r="AI5" s="7">
        <v>250</v>
      </c>
      <c r="AJ5" s="7">
        <v>5</v>
      </c>
      <c r="AK5" s="7">
        <v>41</v>
      </c>
      <c r="AL5" s="7">
        <v>929</v>
      </c>
      <c r="AM5" s="7">
        <v>119</v>
      </c>
      <c r="AN5" s="7">
        <v>50</v>
      </c>
      <c r="AO5" s="7">
        <v>270</v>
      </c>
      <c r="AP5" s="7">
        <v>444</v>
      </c>
      <c r="AQ5" s="7">
        <v>36</v>
      </c>
      <c r="AR5" s="7">
        <v>647</v>
      </c>
      <c r="AS5" s="7">
        <v>106</v>
      </c>
      <c r="AT5" s="7">
        <v>162</v>
      </c>
      <c r="AU5" s="7">
        <v>419</v>
      </c>
      <c r="AV5" s="7">
        <v>266</v>
      </c>
      <c r="AW5" s="7">
        <v>18</v>
      </c>
      <c r="AX5" s="7">
        <v>34</v>
      </c>
      <c r="AY5" s="7">
        <v>49</v>
      </c>
      <c r="AZ5" s="7">
        <v>289</v>
      </c>
      <c r="BA5" s="7">
        <v>119</v>
      </c>
      <c r="BB5" s="7">
        <v>174</v>
      </c>
      <c r="BC5" s="7">
        <v>490</v>
      </c>
      <c r="BD5" s="7">
        <v>622</v>
      </c>
      <c r="BE5" s="7">
        <v>40</v>
      </c>
      <c r="BF5" s="7">
        <v>37</v>
      </c>
      <c r="BG5" s="7"/>
      <c r="BH5" s="8">
        <v>21144</v>
      </c>
      <c r="BI5" s="9">
        <v>10349641.470000001</v>
      </c>
    </row>
    <row r="6" spans="1:61" ht="102" x14ac:dyDescent="0.25">
      <c r="A6" s="10">
        <v>1</v>
      </c>
      <c r="B6" s="11" t="s">
        <v>64</v>
      </c>
      <c r="C6" s="10" t="s">
        <v>64</v>
      </c>
      <c r="D6" s="11" t="s">
        <v>65</v>
      </c>
      <c r="E6" s="10" t="s">
        <v>66</v>
      </c>
      <c r="F6" s="10" t="s">
        <v>67</v>
      </c>
      <c r="G6" s="12"/>
      <c r="H6" s="12"/>
      <c r="I6" s="12"/>
      <c r="J6" s="12"/>
      <c r="K6" s="12"/>
      <c r="L6" s="12"/>
      <c r="M6" s="12"/>
      <c r="N6" s="12"/>
      <c r="O6" s="12"/>
      <c r="P6" s="12"/>
      <c r="Q6" s="12"/>
      <c r="R6" s="12"/>
      <c r="S6" s="12"/>
      <c r="T6" s="12"/>
      <c r="U6" s="12"/>
      <c r="V6" s="12"/>
      <c r="W6" s="12"/>
      <c r="X6" s="12"/>
      <c r="Y6" s="13">
        <v>1</v>
      </c>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3">
        <f t="shared" ref="BH6:BH69" si="0">SUM(G6:BG6)</f>
        <v>1</v>
      </c>
      <c r="BI6" s="14">
        <f>57000*BH6</f>
        <v>57000</v>
      </c>
    </row>
    <row r="7" spans="1:61" ht="63.75" x14ac:dyDescent="0.25">
      <c r="A7" s="10">
        <v>2</v>
      </c>
      <c r="B7" s="11" t="s">
        <v>68</v>
      </c>
      <c r="C7" s="10" t="s">
        <v>68</v>
      </c>
      <c r="D7" s="11" t="s">
        <v>69</v>
      </c>
      <c r="E7" s="10" t="s">
        <v>70</v>
      </c>
      <c r="F7" s="10" t="s">
        <v>67</v>
      </c>
      <c r="G7" s="12"/>
      <c r="H7" s="12"/>
      <c r="I7" s="12"/>
      <c r="J7" s="12"/>
      <c r="K7" s="12"/>
      <c r="L7" s="12"/>
      <c r="M7" s="12"/>
      <c r="N7" s="12"/>
      <c r="O7" s="12"/>
      <c r="P7" s="12"/>
      <c r="Q7" s="12"/>
      <c r="R7" s="12"/>
      <c r="S7" s="12"/>
      <c r="T7" s="12"/>
      <c r="U7" s="12"/>
      <c r="V7" s="12"/>
      <c r="W7" s="12"/>
      <c r="X7" s="12"/>
      <c r="Y7" s="13">
        <v>1</v>
      </c>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3">
        <f t="shared" si="0"/>
        <v>1</v>
      </c>
      <c r="BI7" s="14">
        <f>7500*BH7</f>
        <v>7500</v>
      </c>
    </row>
    <row r="8" spans="1:61" ht="76.5" x14ac:dyDescent="0.25">
      <c r="A8" s="10">
        <v>3</v>
      </c>
      <c r="B8" s="11" t="s">
        <v>71</v>
      </c>
      <c r="C8" s="10" t="s">
        <v>71</v>
      </c>
      <c r="D8" s="11" t="s">
        <v>72</v>
      </c>
      <c r="E8" s="10" t="s">
        <v>73</v>
      </c>
      <c r="F8" s="10" t="s">
        <v>67</v>
      </c>
      <c r="G8" s="12"/>
      <c r="H8" s="12"/>
      <c r="I8" s="12"/>
      <c r="J8" s="12"/>
      <c r="K8" s="12"/>
      <c r="L8" s="12"/>
      <c r="M8" s="12"/>
      <c r="N8" s="12"/>
      <c r="O8" s="12"/>
      <c r="P8" s="12"/>
      <c r="Q8" s="12"/>
      <c r="R8" s="12"/>
      <c r="S8" s="12"/>
      <c r="T8" s="12"/>
      <c r="U8" s="12"/>
      <c r="V8" s="12"/>
      <c r="W8" s="12"/>
      <c r="X8" s="12"/>
      <c r="Y8" s="13">
        <v>1</v>
      </c>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3">
        <v>2</v>
      </c>
      <c r="BD8" s="12"/>
      <c r="BE8" s="12"/>
      <c r="BF8" s="12"/>
      <c r="BG8" s="12"/>
      <c r="BH8" s="13">
        <f t="shared" si="0"/>
        <v>3</v>
      </c>
      <c r="BI8" s="14">
        <f>4854.96*BH8</f>
        <v>14564.880000000001</v>
      </c>
    </row>
    <row r="9" spans="1:61" ht="76.5" x14ac:dyDescent="0.25">
      <c r="A9" s="10">
        <v>4</v>
      </c>
      <c r="B9" s="11" t="s">
        <v>74</v>
      </c>
      <c r="C9" s="10" t="s">
        <v>74</v>
      </c>
      <c r="D9" s="11" t="s">
        <v>75</v>
      </c>
      <c r="E9" s="10" t="s">
        <v>76</v>
      </c>
      <c r="F9" s="10" t="s">
        <v>67</v>
      </c>
      <c r="G9" s="12"/>
      <c r="H9" s="12"/>
      <c r="I9" s="12"/>
      <c r="J9" s="12"/>
      <c r="K9" s="12"/>
      <c r="L9" s="12"/>
      <c r="M9" s="12"/>
      <c r="N9" s="12"/>
      <c r="O9" s="12"/>
      <c r="P9" s="12"/>
      <c r="Q9" s="12"/>
      <c r="R9" s="12"/>
      <c r="S9" s="12"/>
      <c r="T9" s="12"/>
      <c r="U9" s="12"/>
      <c r="V9" s="12"/>
      <c r="W9" s="12"/>
      <c r="X9" s="12"/>
      <c r="Y9" s="13">
        <v>2</v>
      </c>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3">
        <f t="shared" si="0"/>
        <v>2</v>
      </c>
      <c r="BI9" s="14">
        <f>BH9*12053.615</f>
        <v>24107.23</v>
      </c>
    </row>
    <row r="10" spans="1:61" ht="51" x14ac:dyDescent="0.25">
      <c r="A10" s="10">
        <v>5</v>
      </c>
      <c r="B10" s="11" t="s">
        <v>77</v>
      </c>
      <c r="C10" s="10" t="s">
        <v>77</v>
      </c>
      <c r="D10" s="11" t="s">
        <v>78</v>
      </c>
      <c r="E10" s="10" t="s">
        <v>79</v>
      </c>
      <c r="F10" s="10" t="s">
        <v>67</v>
      </c>
      <c r="G10" s="12"/>
      <c r="H10" s="12"/>
      <c r="I10" s="12"/>
      <c r="J10" s="12"/>
      <c r="K10" s="12"/>
      <c r="L10" s="12"/>
      <c r="M10" s="12"/>
      <c r="N10" s="12"/>
      <c r="O10" s="12"/>
      <c r="P10" s="12"/>
      <c r="Q10" s="12"/>
      <c r="R10" s="12"/>
      <c r="S10" s="12"/>
      <c r="T10" s="12"/>
      <c r="U10" s="12"/>
      <c r="V10" s="12"/>
      <c r="W10" s="12"/>
      <c r="X10" s="13">
        <v>10</v>
      </c>
      <c r="Y10" s="12"/>
      <c r="Z10" s="12"/>
      <c r="AA10" s="12"/>
      <c r="AB10" s="12"/>
      <c r="AC10" s="12"/>
      <c r="AD10" s="12"/>
      <c r="AE10" s="12"/>
      <c r="AF10" s="12"/>
      <c r="AG10" s="12"/>
      <c r="AH10" s="13">
        <v>5</v>
      </c>
      <c r="AI10" s="12"/>
      <c r="AJ10" s="12"/>
      <c r="AK10" s="12"/>
      <c r="AL10" s="12"/>
      <c r="AM10" s="12"/>
      <c r="AN10" s="12"/>
      <c r="AO10" s="12"/>
      <c r="AP10" s="12"/>
      <c r="AQ10" s="12"/>
      <c r="AR10" s="12"/>
      <c r="AS10" s="12"/>
      <c r="AT10" s="12"/>
      <c r="AU10" s="12"/>
      <c r="AV10" s="12"/>
      <c r="AW10" s="12"/>
      <c r="AX10" s="12"/>
      <c r="AY10" s="12"/>
      <c r="AZ10" s="12"/>
      <c r="BA10" s="12"/>
      <c r="BB10" s="12"/>
      <c r="BC10" s="12"/>
      <c r="BD10" s="13">
        <v>2</v>
      </c>
      <c r="BE10" s="12"/>
      <c r="BF10" s="12"/>
      <c r="BG10" s="12"/>
      <c r="BH10" s="13">
        <f t="shared" si="0"/>
        <v>17</v>
      </c>
      <c r="BI10" s="14">
        <f>BH10*1500</f>
        <v>25500</v>
      </c>
    </row>
    <row r="11" spans="1:61" ht="76.5" x14ac:dyDescent="0.25">
      <c r="A11" s="10">
        <v>6</v>
      </c>
      <c r="B11" s="11" t="s">
        <v>80</v>
      </c>
      <c r="C11" s="10" t="s">
        <v>80</v>
      </c>
      <c r="D11" s="11" t="s">
        <v>81</v>
      </c>
      <c r="E11" s="10" t="s">
        <v>82</v>
      </c>
      <c r="F11" s="10" t="s">
        <v>67</v>
      </c>
      <c r="G11" s="12"/>
      <c r="H11" s="12"/>
      <c r="I11" s="12"/>
      <c r="J11" s="12"/>
      <c r="K11" s="12"/>
      <c r="L11" s="12"/>
      <c r="M11" s="12"/>
      <c r="N11" s="12"/>
      <c r="O11" s="12"/>
      <c r="P11" s="12"/>
      <c r="Q11" s="12"/>
      <c r="R11" s="12"/>
      <c r="S11" s="12"/>
      <c r="T11" s="12"/>
      <c r="U11" s="12"/>
      <c r="V11" s="12"/>
      <c r="W11" s="12"/>
      <c r="X11" s="13">
        <v>50</v>
      </c>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3">
        <v>6</v>
      </c>
      <c r="BE11" s="12"/>
      <c r="BF11" s="12"/>
      <c r="BG11" s="12"/>
      <c r="BH11" s="13">
        <f t="shared" si="0"/>
        <v>56</v>
      </c>
      <c r="BI11" s="14">
        <f>BH11*200.003928571429</f>
        <v>11200.220000000023</v>
      </c>
    </row>
    <row r="12" spans="1:61" ht="76.5" x14ac:dyDescent="0.25">
      <c r="A12" s="10">
        <v>7</v>
      </c>
      <c r="B12" s="11" t="s">
        <v>83</v>
      </c>
      <c r="C12" s="10" t="s">
        <v>83</v>
      </c>
      <c r="D12" s="11" t="s">
        <v>84</v>
      </c>
      <c r="E12" s="10" t="s">
        <v>85</v>
      </c>
      <c r="F12" s="10" t="s">
        <v>67</v>
      </c>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3">
        <v>2</v>
      </c>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3">
        <v>1</v>
      </c>
      <c r="BG12" s="13"/>
      <c r="BH12" s="13">
        <f t="shared" si="0"/>
        <v>3</v>
      </c>
      <c r="BI12" s="14">
        <f>BH12*4500</f>
        <v>13500</v>
      </c>
    </row>
    <row r="13" spans="1:61" ht="89.25" x14ac:dyDescent="0.25">
      <c r="A13" s="10">
        <v>8</v>
      </c>
      <c r="B13" s="11" t="s">
        <v>86</v>
      </c>
      <c r="C13" s="10" t="s">
        <v>86</v>
      </c>
      <c r="D13" s="11" t="s">
        <v>87</v>
      </c>
      <c r="E13" s="10" t="s">
        <v>88</v>
      </c>
      <c r="F13" s="10" t="s">
        <v>67</v>
      </c>
      <c r="G13" s="12"/>
      <c r="H13" s="12"/>
      <c r="I13" s="12"/>
      <c r="J13" s="12"/>
      <c r="K13" s="12"/>
      <c r="L13" s="12"/>
      <c r="M13" s="12"/>
      <c r="N13" s="12"/>
      <c r="O13" s="12"/>
      <c r="P13" s="12"/>
      <c r="Q13" s="12"/>
      <c r="R13" s="12"/>
      <c r="S13" s="12"/>
      <c r="T13" s="12"/>
      <c r="U13" s="12"/>
      <c r="V13" s="12"/>
      <c r="W13" s="12"/>
      <c r="X13" s="13">
        <v>2</v>
      </c>
      <c r="Y13" s="12"/>
      <c r="Z13" s="12"/>
      <c r="AA13" s="12"/>
      <c r="AB13" s="12"/>
      <c r="AC13" s="12"/>
      <c r="AD13" s="12"/>
      <c r="AE13" s="12"/>
      <c r="AF13" s="12"/>
      <c r="AG13" s="12"/>
      <c r="AH13" s="12"/>
      <c r="AI13" s="12"/>
      <c r="AJ13" s="12"/>
      <c r="AK13" s="12"/>
      <c r="AL13" s="12"/>
      <c r="AM13" s="12"/>
      <c r="AN13" s="12"/>
      <c r="AO13" s="13">
        <v>1</v>
      </c>
      <c r="AP13" s="12"/>
      <c r="AQ13" s="12"/>
      <c r="AR13" s="12"/>
      <c r="AS13" s="12"/>
      <c r="AT13" s="12"/>
      <c r="AU13" s="12"/>
      <c r="AV13" s="12"/>
      <c r="AW13" s="12"/>
      <c r="AX13" s="12"/>
      <c r="AY13" s="12"/>
      <c r="AZ13" s="12"/>
      <c r="BA13" s="12"/>
      <c r="BB13" s="12"/>
      <c r="BC13" s="12"/>
      <c r="BD13" s="12"/>
      <c r="BE13" s="12"/>
      <c r="BF13" s="13">
        <v>1</v>
      </c>
      <c r="BG13" s="13"/>
      <c r="BH13" s="13">
        <f t="shared" si="0"/>
        <v>4</v>
      </c>
      <c r="BI13" s="14">
        <f>BH13*2800.0075</f>
        <v>11200.03</v>
      </c>
    </row>
    <row r="14" spans="1:61" ht="89.25" x14ac:dyDescent="0.25">
      <c r="A14" s="10">
        <v>9</v>
      </c>
      <c r="B14" s="11" t="s">
        <v>89</v>
      </c>
      <c r="C14" s="10" t="s">
        <v>89</v>
      </c>
      <c r="D14" s="11" t="s">
        <v>90</v>
      </c>
      <c r="E14" s="10" t="s">
        <v>91</v>
      </c>
      <c r="F14" s="10" t="s">
        <v>67</v>
      </c>
      <c r="G14" s="12"/>
      <c r="H14" s="12"/>
      <c r="I14" s="12"/>
      <c r="J14" s="12"/>
      <c r="K14" s="12"/>
      <c r="L14" s="12"/>
      <c r="M14" s="12"/>
      <c r="N14" s="12"/>
      <c r="O14" s="12"/>
      <c r="P14" s="12"/>
      <c r="Q14" s="12"/>
      <c r="R14" s="12"/>
      <c r="S14" s="12"/>
      <c r="T14" s="12"/>
      <c r="U14" s="12"/>
      <c r="V14" s="12"/>
      <c r="W14" s="12"/>
      <c r="X14" s="13">
        <v>1</v>
      </c>
      <c r="Y14" s="12"/>
      <c r="Z14" s="12"/>
      <c r="AA14" s="12"/>
      <c r="AB14" s="12"/>
      <c r="AC14" s="12"/>
      <c r="AD14" s="12"/>
      <c r="AE14" s="12"/>
      <c r="AF14" s="12"/>
      <c r="AG14" s="12"/>
      <c r="AH14" s="13">
        <v>10</v>
      </c>
      <c r="AI14" s="12"/>
      <c r="AJ14" s="12"/>
      <c r="AK14" s="12"/>
      <c r="AL14" s="12"/>
      <c r="AM14" s="12"/>
      <c r="AN14" s="12"/>
      <c r="AO14" s="13">
        <v>2</v>
      </c>
      <c r="AP14" s="12"/>
      <c r="AQ14" s="12"/>
      <c r="AR14" s="12"/>
      <c r="AS14" s="12"/>
      <c r="AT14" s="12"/>
      <c r="AU14" s="12"/>
      <c r="AV14" s="12"/>
      <c r="AW14" s="12"/>
      <c r="AX14" s="12"/>
      <c r="AY14" s="12"/>
      <c r="AZ14" s="12"/>
      <c r="BA14" s="12"/>
      <c r="BB14" s="12"/>
      <c r="BC14" s="12"/>
      <c r="BD14" s="12"/>
      <c r="BE14" s="12"/>
      <c r="BF14" s="12"/>
      <c r="BG14" s="12"/>
      <c r="BH14" s="13">
        <f t="shared" si="0"/>
        <v>13</v>
      </c>
      <c r="BI14" s="14">
        <f>BH14*3000</f>
        <v>39000</v>
      </c>
    </row>
    <row r="15" spans="1:61" ht="89.25" x14ac:dyDescent="0.25">
      <c r="A15" s="10">
        <v>10</v>
      </c>
      <c r="B15" s="11" t="s">
        <v>92</v>
      </c>
      <c r="C15" s="10" t="s">
        <v>92</v>
      </c>
      <c r="D15" s="11" t="s">
        <v>93</v>
      </c>
      <c r="E15" s="10" t="s">
        <v>94</v>
      </c>
      <c r="F15" s="10" t="s">
        <v>67</v>
      </c>
      <c r="G15" s="12"/>
      <c r="H15" s="12"/>
      <c r="I15" s="12"/>
      <c r="J15" s="12"/>
      <c r="K15" s="12"/>
      <c r="L15" s="12"/>
      <c r="M15" s="12"/>
      <c r="N15" s="12"/>
      <c r="O15" s="12"/>
      <c r="P15" s="12"/>
      <c r="Q15" s="12"/>
      <c r="R15" s="12"/>
      <c r="S15" s="12"/>
      <c r="T15" s="12"/>
      <c r="U15" s="12"/>
      <c r="V15" s="12"/>
      <c r="W15" s="12"/>
      <c r="X15" s="13">
        <v>1</v>
      </c>
      <c r="Y15" s="12"/>
      <c r="Z15" s="12"/>
      <c r="AA15" s="12"/>
      <c r="AB15" s="12"/>
      <c r="AC15" s="12"/>
      <c r="AD15" s="12"/>
      <c r="AE15" s="12"/>
      <c r="AF15" s="12"/>
      <c r="AG15" s="12"/>
      <c r="AH15" s="13">
        <v>6</v>
      </c>
      <c r="AI15" s="12"/>
      <c r="AJ15" s="12"/>
      <c r="AK15" s="12"/>
      <c r="AL15" s="12"/>
      <c r="AM15" s="12"/>
      <c r="AN15" s="12"/>
      <c r="AO15" s="13">
        <v>1</v>
      </c>
      <c r="AP15" s="12"/>
      <c r="AQ15" s="12"/>
      <c r="AR15" s="12"/>
      <c r="AS15" s="12"/>
      <c r="AT15" s="12"/>
      <c r="AU15" s="12"/>
      <c r="AV15" s="12"/>
      <c r="AW15" s="12"/>
      <c r="AX15" s="12"/>
      <c r="AY15" s="12"/>
      <c r="AZ15" s="12"/>
      <c r="BA15" s="12"/>
      <c r="BB15" s="12"/>
      <c r="BC15" s="12"/>
      <c r="BD15" s="13">
        <v>1</v>
      </c>
      <c r="BE15" s="12"/>
      <c r="BF15" s="12"/>
      <c r="BG15" s="12"/>
      <c r="BH15" s="13">
        <f t="shared" si="0"/>
        <v>9</v>
      </c>
      <c r="BI15" s="14">
        <f>BH15*3000</f>
        <v>27000</v>
      </c>
    </row>
    <row r="16" spans="1:61" ht="63.75" x14ac:dyDescent="0.25">
      <c r="A16" s="10">
        <v>11</v>
      </c>
      <c r="B16" s="11" t="s">
        <v>95</v>
      </c>
      <c r="C16" s="10" t="s">
        <v>95</v>
      </c>
      <c r="D16" s="11" t="s">
        <v>96</v>
      </c>
      <c r="E16" s="10" t="s">
        <v>97</v>
      </c>
      <c r="F16" s="10" t="s">
        <v>67</v>
      </c>
      <c r="G16" s="12"/>
      <c r="H16" s="12"/>
      <c r="I16" s="12"/>
      <c r="J16" s="12"/>
      <c r="K16" s="12"/>
      <c r="L16" s="12"/>
      <c r="M16" s="12"/>
      <c r="N16" s="12"/>
      <c r="O16" s="12"/>
      <c r="P16" s="12"/>
      <c r="Q16" s="12"/>
      <c r="R16" s="12"/>
      <c r="S16" s="12"/>
      <c r="T16" s="12"/>
      <c r="U16" s="12"/>
      <c r="V16" s="12"/>
      <c r="W16" s="12"/>
      <c r="X16" s="13">
        <v>1</v>
      </c>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3">
        <v>1</v>
      </c>
      <c r="BE16" s="12"/>
      <c r="BF16" s="12"/>
      <c r="BG16" s="12"/>
      <c r="BH16" s="13">
        <f t="shared" si="0"/>
        <v>2</v>
      </c>
      <c r="BI16" s="14">
        <f>BH16*1500</f>
        <v>3000</v>
      </c>
    </row>
    <row r="17" spans="1:61" ht="51" x14ac:dyDescent="0.25">
      <c r="A17" s="10">
        <v>12</v>
      </c>
      <c r="B17" s="11" t="s">
        <v>98</v>
      </c>
      <c r="C17" s="10" t="s">
        <v>98</v>
      </c>
      <c r="D17" s="11" t="s">
        <v>99</v>
      </c>
      <c r="E17" s="10" t="s">
        <v>100</v>
      </c>
      <c r="F17" s="10" t="s">
        <v>67</v>
      </c>
      <c r="G17" s="12"/>
      <c r="H17" s="12"/>
      <c r="I17" s="12"/>
      <c r="J17" s="12"/>
      <c r="K17" s="12"/>
      <c r="L17" s="12"/>
      <c r="M17" s="12"/>
      <c r="N17" s="12"/>
      <c r="O17" s="12"/>
      <c r="P17" s="12"/>
      <c r="Q17" s="12"/>
      <c r="R17" s="12"/>
      <c r="S17" s="12"/>
      <c r="T17" s="12"/>
      <c r="U17" s="12"/>
      <c r="V17" s="12"/>
      <c r="W17" s="12"/>
      <c r="X17" s="13">
        <v>1</v>
      </c>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3">
        <f t="shared" si="0"/>
        <v>1</v>
      </c>
      <c r="BI17" s="15">
        <f>BH17*160.01</f>
        <v>160.01</v>
      </c>
    </row>
    <row r="18" spans="1:61" ht="51" x14ac:dyDescent="0.25">
      <c r="A18" s="10">
        <v>13</v>
      </c>
      <c r="B18" s="11" t="s">
        <v>101</v>
      </c>
      <c r="C18" s="10" t="s">
        <v>101</v>
      </c>
      <c r="D18" s="11" t="s">
        <v>102</v>
      </c>
      <c r="E18" s="10" t="s">
        <v>103</v>
      </c>
      <c r="F18" s="10" t="s">
        <v>67</v>
      </c>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3">
        <v>1</v>
      </c>
      <c r="BE18" s="12"/>
      <c r="BF18" s="12"/>
      <c r="BG18" s="12"/>
      <c r="BH18" s="13">
        <f t="shared" si="0"/>
        <v>1</v>
      </c>
      <c r="BI18" s="15">
        <f>BH18*130.01</f>
        <v>130.01</v>
      </c>
    </row>
    <row r="19" spans="1:61" ht="51" x14ac:dyDescent="0.25">
      <c r="A19" s="10">
        <v>14</v>
      </c>
      <c r="B19" s="11" t="s">
        <v>104</v>
      </c>
      <c r="C19" s="10" t="s">
        <v>104</v>
      </c>
      <c r="D19" s="11" t="s">
        <v>105</v>
      </c>
      <c r="E19" s="10" t="s">
        <v>106</v>
      </c>
      <c r="F19" s="10" t="s">
        <v>67</v>
      </c>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3">
        <v>2</v>
      </c>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3">
        <f t="shared" si="0"/>
        <v>2</v>
      </c>
      <c r="BI19" s="14">
        <f>BH19*2187.6</f>
        <v>4375.2</v>
      </c>
    </row>
    <row r="20" spans="1:61" ht="76.5" x14ac:dyDescent="0.25">
      <c r="A20" s="10">
        <v>15</v>
      </c>
      <c r="B20" s="11" t="s">
        <v>107</v>
      </c>
      <c r="C20" s="10" t="s">
        <v>107</v>
      </c>
      <c r="D20" s="11" t="s">
        <v>108</v>
      </c>
      <c r="E20" s="10" t="s">
        <v>109</v>
      </c>
      <c r="F20" s="10" t="s">
        <v>67</v>
      </c>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3">
        <v>2</v>
      </c>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3">
        <f t="shared" si="0"/>
        <v>2</v>
      </c>
      <c r="BI20" s="14">
        <f>BH20*20000.005</f>
        <v>40000.01</v>
      </c>
    </row>
    <row r="21" spans="1:61" ht="76.5" x14ac:dyDescent="0.25">
      <c r="A21" s="10">
        <v>16</v>
      </c>
      <c r="B21" s="11" t="s">
        <v>110</v>
      </c>
      <c r="C21" s="10" t="s">
        <v>110</v>
      </c>
      <c r="D21" s="11" t="s">
        <v>111</v>
      </c>
      <c r="E21" s="10" t="s">
        <v>112</v>
      </c>
      <c r="F21" s="10" t="s">
        <v>67</v>
      </c>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3">
        <v>3</v>
      </c>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3">
        <f t="shared" si="0"/>
        <v>3</v>
      </c>
      <c r="BI21" s="14">
        <f>BH21*20000.0033333333</f>
        <v>60000.009999999907</v>
      </c>
    </row>
    <row r="22" spans="1:61" ht="76.5" x14ac:dyDescent="0.25">
      <c r="A22" s="10">
        <v>17</v>
      </c>
      <c r="B22" s="11" t="s">
        <v>113</v>
      </c>
      <c r="C22" s="10" t="s">
        <v>113</v>
      </c>
      <c r="D22" s="11" t="s">
        <v>114</v>
      </c>
      <c r="E22" s="10" t="s">
        <v>115</v>
      </c>
      <c r="F22" s="10" t="s">
        <v>67</v>
      </c>
      <c r="G22" s="12"/>
      <c r="H22" s="12"/>
      <c r="I22" s="12"/>
      <c r="J22" s="12"/>
      <c r="K22" s="12"/>
      <c r="L22" s="12"/>
      <c r="M22" s="12"/>
      <c r="N22" s="12"/>
      <c r="O22" s="12"/>
      <c r="P22" s="12"/>
      <c r="Q22" s="12"/>
      <c r="R22" s="12"/>
      <c r="S22" s="12"/>
      <c r="T22" s="12"/>
      <c r="U22" s="12"/>
      <c r="V22" s="12"/>
      <c r="W22" s="12"/>
      <c r="X22" s="13">
        <v>3</v>
      </c>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3">
        <f t="shared" si="0"/>
        <v>3</v>
      </c>
      <c r="BI22" s="14">
        <f>BH22*6480</f>
        <v>19440</v>
      </c>
    </row>
    <row r="23" spans="1:61" ht="76.5" x14ac:dyDescent="0.25">
      <c r="A23" s="10">
        <v>18</v>
      </c>
      <c r="B23" s="11" t="s">
        <v>116</v>
      </c>
      <c r="C23" s="10" t="s">
        <v>116</v>
      </c>
      <c r="D23" s="11" t="s">
        <v>117</v>
      </c>
      <c r="E23" s="10" t="s">
        <v>118</v>
      </c>
      <c r="F23" s="10" t="s">
        <v>67</v>
      </c>
      <c r="G23" s="12"/>
      <c r="H23" s="12"/>
      <c r="I23" s="12"/>
      <c r="J23" s="12"/>
      <c r="K23" s="12"/>
      <c r="L23" s="12"/>
      <c r="M23" s="12"/>
      <c r="N23" s="12"/>
      <c r="O23" s="12"/>
      <c r="P23" s="12"/>
      <c r="Q23" s="12"/>
      <c r="R23" s="12"/>
      <c r="S23" s="12"/>
      <c r="T23" s="12"/>
      <c r="U23" s="12"/>
      <c r="V23" s="12"/>
      <c r="W23" s="12"/>
      <c r="X23" s="13">
        <v>1</v>
      </c>
      <c r="Y23" s="12"/>
      <c r="Z23" s="12"/>
      <c r="AA23" s="12"/>
      <c r="AB23" s="12"/>
      <c r="AC23" s="12"/>
      <c r="AD23" s="12"/>
      <c r="AE23" s="12"/>
      <c r="AF23" s="12"/>
      <c r="AG23" s="12"/>
      <c r="AH23" s="13">
        <v>2</v>
      </c>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3">
        <f t="shared" si="0"/>
        <v>3</v>
      </c>
      <c r="BI23" s="14">
        <f>BH23*1200</f>
        <v>3600</v>
      </c>
    </row>
    <row r="24" spans="1:61" ht="76.5" x14ac:dyDescent="0.25">
      <c r="A24" s="10">
        <v>19</v>
      </c>
      <c r="B24" s="11" t="s">
        <v>119</v>
      </c>
      <c r="C24" s="10" t="s">
        <v>119</v>
      </c>
      <c r="D24" s="11" t="s">
        <v>120</v>
      </c>
      <c r="E24" s="10" t="s">
        <v>121</v>
      </c>
      <c r="F24" s="10" t="s">
        <v>67</v>
      </c>
      <c r="G24" s="12"/>
      <c r="H24" s="12"/>
      <c r="I24" s="12"/>
      <c r="J24" s="12"/>
      <c r="K24" s="12"/>
      <c r="L24" s="12"/>
      <c r="M24" s="12"/>
      <c r="N24" s="12"/>
      <c r="O24" s="12"/>
      <c r="P24" s="12"/>
      <c r="Q24" s="12"/>
      <c r="R24" s="12"/>
      <c r="S24" s="12"/>
      <c r="T24" s="12"/>
      <c r="U24" s="12"/>
      <c r="V24" s="12"/>
      <c r="W24" s="12"/>
      <c r="X24" s="13">
        <v>3</v>
      </c>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3">
        <f t="shared" si="0"/>
        <v>3</v>
      </c>
      <c r="BI24" s="14">
        <f>BH24*1710</f>
        <v>5130</v>
      </c>
    </row>
    <row r="25" spans="1:61" ht="63.75" x14ac:dyDescent="0.25">
      <c r="A25" s="10">
        <v>20</v>
      </c>
      <c r="B25" s="11" t="s">
        <v>122</v>
      </c>
      <c r="C25" s="10" t="s">
        <v>122</v>
      </c>
      <c r="D25" s="11" t="s">
        <v>123</v>
      </c>
      <c r="E25" s="10" t="s">
        <v>124</v>
      </c>
      <c r="F25" s="10" t="s">
        <v>67</v>
      </c>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3">
        <v>1</v>
      </c>
      <c r="AI25" s="12"/>
      <c r="AJ25" s="12"/>
      <c r="AK25" s="12"/>
      <c r="AL25" s="12"/>
      <c r="AM25" s="12"/>
      <c r="AN25" s="12"/>
      <c r="AO25" s="12"/>
      <c r="AP25" s="12"/>
      <c r="AQ25" s="12"/>
      <c r="AR25" s="12"/>
      <c r="AS25" s="12"/>
      <c r="AT25" s="12"/>
      <c r="AU25" s="12"/>
      <c r="AV25" s="12"/>
      <c r="AW25" s="12"/>
      <c r="AX25" s="12"/>
      <c r="AY25" s="12"/>
      <c r="AZ25" s="12"/>
      <c r="BA25" s="12"/>
      <c r="BB25" s="12"/>
      <c r="BC25" s="12"/>
      <c r="BD25" s="13">
        <v>1</v>
      </c>
      <c r="BE25" s="12"/>
      <c r="BF25" s="12"/>
      <c r="BG25" s="12"/>
      <c r="BH25" s="13">
        <f t="shared" si="0"/>
        <v>2</v>
      </c>
      <c r="BI25" s="14">
        <f>BH25*2689.2</f>
        <v>5378.4</v>
      </c>
    </row>
    <row r="26" spans="1:61" ht="76.5" x14ac:dyDescent="0.25">
      <c r="A26" s="10">
        <v>21</v>
      </c>
      <c r="B26" s="11" t="s">
        <v>125</v>
      </c>
      <c r="C26" s="10" t="s">
        <v>125</v>
      </c>
      <c r="D26" s="11" t="s">
        <v>126</v>
      </c>
      <c r="E26" s="10" t="s">
        <v>127</v>
      </c>
      <c r="F26" s="10" t="s">
        <v>67</v>
      </c>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3">
        <v>5</v>
      </c>
      <c r="AI26" s="12"/>
      <c r="AJ26" s="12"/>
      <c r="AK26" s="12"/>
      <c r="AL26" s="12"/>
      <c r="AM26" s="12"/>
      <c r="AN26" s="12"/>
      <c r="AO26" s="12"/>
      <c r="AP26" s="12"/>
      <c r="AQ26" s="12"/>
      <c r="AR26" s="12"/>
      <c r="AS26" s="12"/>
      <c r="AT26" s="12"/>
      <c r="AU26" s="12"/>
      <c r="AV26" s="12"/>
      <c r="AW26" s="12"/>
      <c r="AX26" s="12"/>
      <c r="AY26" s="12"/>
      <c r="AZ26" s="12"/>
      <c r="BA26" s="12"/>
      <c r="BB26" s="12"/>
      <c r="BC26" s="12"/>
      <c r="BD26" s="13">
        <v>2</v>
      </c>
      <c r="BE26" s="12"/>
      <c r="BF26" s="13">
        <v>5</v>
      </c>
      <c r="BG26" s="13"/>
      <c r="BH26" s="13">
        <f t="shared" si="0"/>
        <v>12</v>
      </c>
      <c r="BI26" s="14">
        <f>BH26*3000</f>
        <v>36000</v>
      </c>
    </row>
    <row r="27" spans="1:61" ht="89.25" x14ac:dyDescent="0.25">
      <c r="A27" s="10">
        <v>22</v>
      </c>
      <c r="B27" s="11" t="s">
        <v>128</v>
      </c>
      <c r="C27" s="10" t="s">
        <v>128</v>
      </c>
      <c r="D27" s="11" t="s">
        <v>129</v>
      </c>
      <c r="E27" s="10" t="s">
        <v>130</v>
      </c>
      <c r="F27" s="10" t="s">
        <v>67</v>
      </c>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3">
        <v>2</v>
      </c>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3">
        <f t="shared" si="0"/>
        <v>2</v>
      </c>
      <c r="BI27" s="14">
        <f>BH27*4500</f>
        <v>9000</v>
      </c>
    </row>
    <row r="28" spans="1:61" ht="89.25" x14ac:dyDescent="0.25">
      <c r="A28" s="10">
        <v>23</v>
      </c>
      <c r="B28" s="11" t="s">
        <v>131</v>
      </c>
      <c r="C28" s="10" t="s">
        <v>131</v>
      </c>
      <c r="D28" s="11" t="s">
        <v>132</v>
      </c>
      <c r="E28" s="10" t="s">
        <v>133</v>
      </c>
      <c r="F28" s="10" t="s">
        <v>67</v>
      </c>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3">
        <v>6</v>
      </c>
      <c r="AI28" s="12"/>
      <c r="AJ28" s="12"/>
      <c r="AK28" s="12"/>
      <c r="AL28" s="12"/>
      <c r="AM28" s="12"/>
      <c r="AN28" s="12"/>
      <c r="AO28" s="13">
        <v>1</v>
      </c>
      <c r="AP28" s="12"/>
      <c r="AQ28" s="12"/>
      <c r="AR28" s="12"/>
      <c r="AS28" s="12"/>
      <c r="AT28" s="12"/>
      <c r="AU28" s="12"/>
      <c r="AV28" s="12"/>
      <c r="AW28" s="12"/>
      <c r="AX28" s="12"/>
      <c r="AY28" s="12"/>
      <c r="AZ28" s="12"/>
      <c r="BA28" s="12"/>
      <c r="BB28" s="12"/>
      <c r="BC28" s="12"/>
      <c r="BD28" s="12"/>
      <c r="BE28" s="12"/>
      <c r="BF28" s="12"/>
      <c r="BG28" s="12"/>
      <c r="BH28" s="13">
        <f t="shared" si="0"/>
        <v>7</v>
      </c>
      <c r="BI28" s="14">
        <f>BH28*3000</f>
        <v>21000</v>
      </c>
    </row>
    <row r="29" spans="1:61" ht="89.25" x14ac:dyDescent="0.25">
      <c r="A29" s="10">
        <v>24</v>
      </c>
      <c r="B29" s="11" t="s">
        <v>134</v>
      </c>
      <c r="C29" s="10" t="s">
        <v>134</v>
      </c>
      <c r="D29" s="11" t="s">
        <v>135</v>
      </c>
      <c r="E29" s="10" t="s">
        <v>136</v>
      </c>
      <c r="F29" s="10" t="s">
        <v>67</v>
      </c>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3">
        <v>4</v>
      </c>
      <c r="AI29" s="12"/>
      <c r="AJ29" s="12"/>
      <c r="AK29" s="12"/>
      <c r="AL29" s="12"/>
      <c r="AM29" s="12"/>
      <c r="AN29" s="12"/>
      <c r="AO29" s="13">
        <v>1</v>
      </c>
      <c r="AP29" s="12"/>
      <c r="AQ29" s="12"/>
      <c r="AR29" s="12"/>
      <c r="AS29" s="12"/>
      <c r="AT29" s="12"/>
      <c r="AU29" s="12"/>
      <c r="AV29" s="12"/>
      <c r="AW29" s="12"/>
      <c r="AX29" s="12"/>
      <c r="AY29" s="12"/>
      <c r="AZ29" s="12"/>
      <c r="BA29" s="12"/>
      <c r="BB29" s="12"/>
      <c r="BC29" s="12"/>
      <c r="BD29" s="12"/>
      <c r="BE29" s="12"/>
      <c r="BF29" s="12"/>
      <c r="BG29" s="12"/>
      <c r="BH29" s="13">
        <f t="shared" si="0"/>
        <v>5</v>
      </c>
      <c r="BI29" s="14">
        <f>BH29*3000</f>
        <v>15000</v>
      </c>
    </row>
    <row r="30" spans="1:61" ht="63.75" x14ac:dyDescent="0.25">
      <c r="A30" s="10">
        <v>25</v>
      </c>
      <c r="B30" s="11" t="s">
        <v>137</v>
      </c>
      <c r="C30" s="10" t="s">
        <v>137</v>
      </c>
      <c r="D30" s="11" t="s">
        <v>138</v>
      </c>
      <c r="E30" s="10" t="s">
        <v>139</v>
      </c>
      <c r="F30" s="10" t="s">
        <v>67</v>
      </c>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3">
        <v>2</v>
      </c>
      <c r="AP30" s="12"/>
      <c r="AQ30" s="12"/>
      <c r="AR30" s="12"/>
      <c r="AS30" s="12"/>
      <c r="AT30" s="12"/>
      <c r="AU30" s="12"/>
      <c r="AV30" s="12"/>
      <c r="AW30" s="12"/>
      <c r="AX30" s="12"/>
      <c r="AY30" s="12"/>
      <c r="AZ30" s="12"/>
      <c r="BA30" s="12"/>
      <c r="BB30" s="12"/>
      <c r="BC30" s="12"/>
      <c r="BD30" s="13">
        <v>2</v>
      </c>
      <c r="BE30" s="12"/>
      <c r="BF30" s="12"/>
      <c r="BG30" s="12"/>
      <c r="BH30" s="13">
        <f t="shared" si="0"/>
        <v>4</v>
      </c>
      <c r="BI30" s="14">
        <f>BH30*1600.0075</f>
        <v>6400.03</v>
      </c>
    </row>
    <row r="31" spans="1:61" ht="63.75" x14ac:dyDescent="0.25">
      <c r="A31" s="10">
        <v>26</v>
      </c>
      <c r="B31" s="11" t="s">
        <v>140</v>
      </c>
      <c r="C31" s="10" t="s">
        <v>140</v>
      </c>
      <c r="D31" s="11" t="s">
        <v>141</v>
      </c>
      <c r="E31" s="10" t="s">
        <v>142</v>
      </c>
      <c r="F31" s="10" t="s">
        <v>67</v>
      </c>
      <c r="G31" s="12"/>
      <c r="H31" s="12"/>
      <c r="I31" s="12"/>
      <c r="J31" s="12"/>
      <c r="K31" s="12"/>
      <c r="L31" s="12"/>
      <c r="M31" s="12"/>
      <c r="N31" s="12"/>
      <c r="O31" s="12"/>
      <c r="P31" s="12"/>
      <c r="Q31" s="12"/>
      <c r="R31" s="12"/>
      <c r="S31" s="12"/>
      <c r="T31" s="12"/>
      <c r="U31" s="12"/>
      <c r="V31" s="12"/>
      <c r="W31" s="12"/>
      <c r="X31" s="13">
        <v>2</v>
      </c>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3">
        <v>1</v>
      </c>
      <c r="BE31" s="12"/>
      <c r="BF31" s="12"/>
      <c r="BG31" s="12"/>
      <c r="BH31" s="13">
        <f t="shared" si="0"/>
        <v>3</v>
      </c>
      <c r="BI31" s="14">
        <f>BH31*3000</f>
        <v>9000</v>
      </c>
    </row>
    <row r="32" spans="1:61" ht="38.25" x14ac:dyDescent="0.25">
      <c r="A32" s="10">
        <v>27</v>
      </c>
      <c r="B32" s="11" t="s">
        <v>143</v>
      </c>
      <c r="C32" s="10" t="s">
        <v>143</v>
      </c>
      <c r="D32" s="11" t="s">
        <v>144</v>
      </c>
      <c r="E32" s="10" t="s">
        <v>145</v>
      </c>
      <c r="F32" s="10" t="s">
        <v>67</v>
      </c>
      <c r="G32" s="12"/>
      <c r="H32" s="12"/>
      <c r="I32" s="12"/>
      <c r="J32" s="12"/>
      <c r="K32" s="12"/>
      <c r="L32" s="12"/>
      <c r="M32" s="12"/>
      <c r="N32" s="12"/>
      <c r="O32" s="12"/>
      <c r="P32" s="12"/>
      <c r="Q32" s="12"/>
      <c r="R32" s="12"/>
      <c r="S32" s="12"/>
      <c r="T32" s="12"/>
      <c r="U32" s="12"/>
      <c r="V32" s="12"/>
      <c r="W32" s="12"/>
      <c r="X32" s="12"/>
      <c r="Y32" s="12"/>
      <c r="Z32" s="13">
        <v>4</v>
      </c>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3">
        <f t="shared" si="0"/>
        <v>4</v>
      </c>
      <c r="BI32" s="15">
        <f>BH32*130.0075</f>
        <v>520.03</v>
      </c>
    </row>
    <row r="33" spans="1:61" ht="51" x14ac:dyDescent="0.25">
      <c r="A33" s="10">
        <v>28</v>
      </c>
      <c r="B33" s="11" t="s">
        <v>146</v>
      </c>
      <c r="C33" s="10" t="s">
        <v>146</v>
      </c>
      <c r="D33" s="11" t="s">
        <v>147</v>
      </c>
      <c r="E33" s="10" t="s">
        <v>148</v>
      </c>
      <c r="F33" s="10" t="s">
        <v>67</v>
      </c>
      <c r="G33" s="12"/>
      <c r="H33" s="12"/>
      <c r="I33" s="13">
        <v>2</v>
      </c>
      <c r="J33" s="12"/>
      <c r="K33" s="12"/>
      <c r="L33" s="13">
        <v>4</v>
      </c>
      <c r="M33" s="12"/>
      <c r="N33" s="12"/>
      <c r="O33" s="12"/>
      <c r="P33" s="12"/>
      <c r="Q33" s="12"/>
      <c r="R33" s="12"/>
      <c r="S33" s="12"/>
      <c r="T33" s="12"/>
      <c r="U33" s="12"/>
      <c r="V33" s="12"/>
      <c r="W33" s="12"/>
      <c r="X33" s="12"/>
      <c r="Y33" s="12"/>
      <c r="Z33" s="12"/>
      <c r="AA33" s="13">
        <v>5</v>
      </c>
      <c r="AB33" s="12"/>
      <c r="AC33" s="13">
        <v>1</v>
      </c>
      <c r="AD33" s="13">
        <v>2</v>
      </c>
      <c r="AE33" s="12"/>
      <c r="AF33" s="12"/>
      <c r="AG33" s="12"/>
      <c r="AH33" s="12"/>
      <c r="AI33" s="13">
        <v>2</v>
      </c>
      <c r="AJ33" s="12"/>
      <c r="AK33" s="12"/>
      <c r="AL33" s="13">
        <v>4</v>
      </c>
      <c r="AM33" s="12"/>
      <c r="AN33" s="12"/>
      <c r="AO33" s="12"/>
      <c r="AP33" s="13">
        <v>3</v>
      </c>
      <c r="AQ33" s="12"/>
      <c r="AR33" s="12"/>
      <c r="AS33" s="12"/>
      <c r="AT33" s="12"/>
      <c r="AU33" s="12"/>
      <c r="AV33" s="12"/>
      <c r="AW33" s="12"/>
      <c r="AX33" s="12"/>
      <c r="AY33" s="12"/>
      <c r="AZ33" s="12"/>
      <c r="BA33" s="12"/>
      <c r="BB33" s="12"/>
      <c r="BC33" s="12"/>
      <c r="BD33" s="12"/>
      <c r="BE33" s="12"/>
      <c r="BF33" s="12"/>
      <c r="BG33" s="12"/>
      <c r="BH33" s="13">
        <f t="shared" si="0"/>
        <v>23</v>
      </c>
      <c r="BI33" s="14">
        <f>BH33*475.356086956522</f>
        <v>10933.190000000006</v>
      </c>
    </row>
    <row r="34" spans="1:61" ht="38.25" x14ac:dyDescent="0.25">
      <c r="A34" s="10">
        <v>29</v>
      </c>
      <c r="B34" s="11" t="s">
        <v>149</v>
      </c>
      <c r="C34" s="10" t="s">
        <v>149</v>
      </c>
      <c r="D34" s="11" t="s">
        <v>150</v>
      </c>
      <c r="E34" s="10" t="s">
        <v>151</v>
      </c>
      <c r="F34" s="10" t="s">
        <v>67</v>
      </c>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3">
        <v>10</v>
      </c>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3">
        <f t="shared" si="0"/>
        <v>10</v>
      </c>
      <c r="BI34" s="14">
        <f>BH34*1840.008</f>
        <v>18400.080000000002</v>
      </c>
    </row>
    <row r="35" spans="1:61" ht="51" x14ac:dyDescent="0.25">
      <c r="A35" s="10">
        <v>30</v>
      </c>
      <c r="B35" s="11" t="s">
        <v>152</v>
      </c>
      <c r="C35" s="10" t="s">
        <v>152</v>
      </c>
      <c r="D35" s="11" t="s">
        <v>153</v>
      </c>
      <c r="E35" s="10" t="s">
        <v>154</v>
      </c>
      <c r="F35" s="10" t="s">
        <v>67</v>
      </c>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3">
        <v>2</v>
      </c>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3">
        <f t="shared" si="0"/>
        <v>2</v>
      </c>
      <c r="BI35" s="14">
        <f>BH35*6364.01</f>
        <v>12728.02</v>
      </c>
    </row>
    <row r="36" spans="1:61" ht="51" x14ac:dyDescent="0.25">
      <c r="A36" s="10">
        <v>31</v>
      </c>
      <c r="B36" s="11" t="s">
        <v>155</v>
      </c>
      <c r="C36" s="10" t="s">
        <v>155</v>
      </c>
      <c r="D36" s="11" t="s">
        <v>156</v>
      </c>
      <c r="E36" s="10" t="s">
        <v>157</v>
      </c>
      <c r="F36" s="10" t="s">
        <v>67</v>
      </c>
      <c r="G36" s="12"/>
      <c r="H36" s="12"/>
      <c r="I36" s="12"/>
      <c r="J36" s="12"/>
      <c r="K36" s="12"/>
      <c r="L36" s="12"/>
      <c r="M36" s="12"/>
      <c r="N36" s="12"/>
      <c r="O36" s="12"/>
      <c r="P36" s="12"/>
      <c r="Q36" s="12"/>
      <c r="R36" s="12"/>
      <c r="S36" s="12"/>
      <c r="T36" s="12"/>
      <c r="U36" s="12"/>
      <c r="V36" s="12"/>
      <c r="W36" s="12"/>
      <c r="X36" s="12"/>
      <c r="Y36" s="12"/>
      <c r="Z36" s="12"/>
      <c r="AA36" s="12"/>
      <c r="AB36" s="12"/>
      <c r="AC36" s="13">
        <v>2</v>
      </c>
      <c r="AD36" s="12"/>
      <c r="AE36" s="12"/>
      <c r="AF36" s="12"/>
      <c r="AG36" s="12"/>
      <c r="AH36" s="12"/>
      <c r="AI36" s="13">
        <v>3</v>
      </c>
      <c r="AJ36" s="12"/>
      <c r="AK36" s="12"/>
      <c r="AL36" s="12"/>
      <c r="AM36" s="12"/>
      <c r="AN36" s="12"/>
      <c r="AO36" s="12"/>
      <c r="AP36" s="12"/>
      <c r="AQ36" s="12"/>
      <c r="AR36" s="12"/>
      <c r="AS36" s="13">
        <v>2</v>
      </c>
      <c r="AT36" s="12"/>
      <c r="AU36" s="12"/>
      <c r="AV36" s="12"/>
      <c r="AW36" s="12"/>
      <c r="AX36" s="12"/>
      <c r="AY36" s="12"/>
      <c r="AZ36" s="12"/>
      <c r="BA36" s="12"/>
      <c r="BB36" s="12"/>
      <c r="BC36" s="12"/>
      <c r="BD36" s="13">
        <v>2</v>
      </c>
      <c r="BE36" s="12"/>
      <c r="BF36" s="12"/>
      <c r="BG36" s="12"/>
      <c r="BH36" s="13">
        <f t="shared" si="0"/>
        <v>9</v>
      </c>
      <c r="BI36" s="14">
        <f>BH36*120</f>
        <v>1080</v>
      </c>
    </row>
    <row r="37" spans="1:61" ht="51" x14ac:dyDescent="0.25">
      <c r="A37" s="10">
        <v>32</v>
      </c>
      <c r="B37" s="11" t="s">
        <v>158</v>
      </c>
      <c r="C37" s="10" t="s">
        <v>158</v>
      </c>
      <c r="D37" s="11" t="s">
        <v>159</v>
      </c>
      <c r="E37" s="10" t="s">
        <v>160</v>
      </c>
      <c r="F37" s="10" t="s">
        <v>67</v>
      </c>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3">
        <v>2</v>
      </c>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3">
        <f t="shared" si="0"/>
        <v>2</v>
      </c>
      <c r="BI37" s="14">
        <f>BH37*1077</f>
        <v>2154</v>
      </c>
    </row>
    <row r="38" spans="1:61" ht="51" x14ac:dyDescent="0.25">
      <c r="A38" s="10">
        <v>33</v>
      </c>
      <c r="B38" s="11" t="s">
        <v>161</v>
      </c>
      <c r="C38" s="10" t="s">
        <v>161</v>
      </c>
      <c r="D38" s="11" t="s">
        <v>162</v>
      </c>
      <c r="E38" s="10" t="s">
        <v>163</v>
      </c>
      <c r="F38" s="10" t="s">
        <v>67</v>
      </c>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3">
        <v>2</v>
      </c>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3">
        <f t="shared" si="0"/>
        <v>2</v>
      </c>
      <c r="BI38" s="14">
        <f>BH38*5929.2</f>
        <v>11858.4</v>
      </c>
    </row>
    <row r="39" spans="1:61" ht="51" x14ac:dyDescent="0.25">
      <c r="A39" s="10">
        <v>34</v>
      </c>
      <c r="B39" s="11" t="s">
        <v>164</v>
      </c>
      <c r="C39" s="10" t="s">
        <v>164</v>
      </c>
      <c r="D39" s="11" t="s">
        <v>165</v>
      </c>
      <c r="E39" s="10" t="s">
        <v>166</v>
      </c>
      <c r="F39" s="10" t="s">
        <v>67</v>
      </c>
      <c r="G39" s="12"/>
      <c r="H39" s="13">
        <v>2</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3">
        <v>2</v>
      </c>
      <c r="AT39" s="12"/>
      <c r="AU39" s="12"/>
      <c r="AV39" s="12"/>
      <c r="AW39" s="12"/>
      <c r="AX39" s="12"/>
      <c r="AY39" s="12"/>
      <c r="AZ39" s="12"/>
      <c r="BA39" s="12"/>
      <c r="BB39" s="12"/>
      <c r="BC39" s="12"/>
      <c r="BD39" s="12"/>
      <c r="BE39" s="12"/>
      <c r="BF39" s="12"/>
      <c r="BG39" s="12"/>
      <c r="BH39" s="13">
        <f t="shared" si="0"/>
        <v>4</v>
      </c>
      <c r="BI39" s="14">
        <f>BH39*432</f>
        <v>1728</v>
      </c>
    </row>
    <row r="40" spans="1:61" ht="63.75" x14ac:dyDescent="0.25">
      <c r="A40" s="10">
        <v>35</v>
      </c>
      <c r="B40" s="11" t="s">
        <v>167</v>
      </c>
      <c r="C40" s="10" t="s">
        <v>167</v>
      </c>
      <c r="D40" s="11" t="s">
        <v>168</v>
      </c>
      <c r="E40" s="10" t="s">
        <v>169</v>
      </c>
      <c r="F40" s="10" t="s">
        <v>67</v>
      </c>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3">
        <v>4</v>
      </c>
      <c r="AM40" s="12"/>
      <c r="AN40" s="12"/>
      <c r="AO40" s="12"/>
      <c r="AP40" s="12"/>
      <c r="AQ40" s="12"/>
      <c r="AR40" s="12"/>
      <c r="AS40" s="13">
        <v>1</v>
      </c>
      <c r="AT40" s="12"/>
      <c r="AU40" s="12"/>
      <c r="AV40" s="12"/>
      <c r="AW40" s="12"/>
      <c r="AX40" s="12"/>
      <c r="AY40" s="12"/>
      <c r="AZ40" s="12"/>
      <c r="BA40" s="12"/>
      <c r="BB40" s="12"/>
      <c r="BC40" s="12"/>
      <c r="BD40" s="12"/>
      <c r="BE40" s="12"/>
      <c r="BF40" s="12"/>
      <c r="BG40" s="12"/>
      <c r="BH40" s="13">
        <f t="shared" si="0"/>
        <v>5</v>
      </c>
      <c r="BI40" s="14">
        <f>BH40*10948.8</f>
        <v>54744</v>
      </c>
    </row>
    <row r="41" spans="1:61" ht="63.75" x14ac:dyDescent="0.25">
      <c r="A41" s="10">
        <v>36</v>
      </c>
      <c r="B41" s="11" t="s">
        <v>170</v>
      </c>
      <c r="C41" s="10" t="s">
        <v>170</v>
      </c>
      <c r="D41" s="11" t="s">
        <v>171</v>
      </c>
      <c r="E41" s="10" t="s">
        <v>172</v>
      </c>
      <c r="F41" s="10" t="s">
        <v>67</v>
      </c>
      <c r="G41" s="12"/>
      <c r="H41" s="12"/>
      <c r="I41" s="12"/>
      <c r="J41" s="12"/>
      <c r="K41" s="12"/>
      <c r="L41" s="12"/>
      <c r="M41" s="12"/>
      <c r="N41" s="12"/>
      <c r="O41" s="12"/>
      <c r="P41" s="12"/>
      <c r="Q41" s="12"/>
      <c r="R41" s="12"/>
      <c r="S41" s="12"/>
      <c r="T41" s="12"/>
      <c r="U41" s="12"/>
      <c r="V41" s="12"/>
      <c r="W41" s="12"/>
      <c r="X41" s="12"/>
      <c r="Y41" s="12"/>
      <c r="Z41" s="12"/>
      <c r="AA41" s="12"/>
      <c r="AB41" s="12"/>
      <c r="AC41" s="13">
        <v>2</v>
      </c>
      <c r="AD41" s="12"/>
      <c r="AE41" s="12"/>
      <c r="AF41" s="12"/>
      <c r="AG41" s="12"/>
      <c r="AH41" s="13">
        <v>5</v>
      </c>
      <c r="AI41" s="13">
        <v>2</v>
      </c>
      <c r="AJ41" s="12"/>
      <c r="AK41" s="12"/>
      <c r="AL41" s="12"/>
      <c r="AM41" s="12"/>
      <c r="AN41" s="12"/>
      <c r="AO41" s="12"/>
      <c r="AP41" s="12"/>
      <c r="AQ41" s="12"/>
      <c r="AR41" s="12"/>
      <c r="AS41" s="13">
        <v>1</v>
      </c>
      <c r="AT41" s="12"/>
      <c r="AU41" s="12"/>
      <c r="AV41" s="12"/>
      <c r="AW41" s="12"/>
      <c r="AX41" s="12"/>
      <c r="AY41" s="12"/>
      <c r="AZ41" s="12"/>
      <c r="BA41" s="12"/>
      <c r="BB41" s="12"/>
      <c r="BC41" s="12"/>
      <c r="BD41" s="12"/>
      <c r="BE41" s="12"/>
      <c r="BF41" s="12"/>
      <c r="BG41" s="12"/>
      <c r="BH41" s="13">
        <f t="shared" si="0"/>
        <v>10</v>
      </c>
      <c r="BI41" s="14">
        <f>BH41*209.268</f>
        <v>2092.6799999999998</v>
      </c>
    </row>
    <row r="42" spans="1:61" ht="51" x14ac:dyDescent="0.25">
      <c r="A42" s="10">
        <v>37</v>
      </c>
      <c r="B42" s="11" t="s">
        <v>173</v>
      </c>
      <c r="C42" s="10" t="s">
        <v>173</v>
      </c>
      <c r="D42" s="11" t="s">
        <v>174</v>
      </c>
      <c r="E42" s="10" t="s">
        <v>175</v>
      </c>
      <c r="F42" s="10" t="s">
        <v>67</v>
      </c>
      <c r="G42" s="12"/>
      <c r="H42" s="12"/>
      <c r="I42" s="12"/>
      <c r="J42" s="12"/>
      <c r="K42" s="12"/>
      <c r="L42" s="12"/>
      <c r="M42" s="12"/>
      <c r="N42" s="12"/>
      <c r="O42" s="12"/>
      <c r="P42" s="12"/>
      <c r="Q42" s="12"/>
      <c r="R42" s="12"/>
      <c r="S42" s="12"/>
      <c r="T42" s="12"/>
      <c r="U42" s="12"/>
      <c r="V42" s="12"/>
      <c r="W42" s="12"/>
      <c r="X42" s="12"/>
      <c r="Y42" s="12"/>
      <c r="Z42" s="12"/>
      <c r="AA42" s="12"/>
      <c r="AB42" s="12"/>
      <c r="AC42" s="13">
        <v>1</v>
      </c>
      <c r="AD42" s="12"/>
      <c r="AE42" s="12"/>
      <c r="AF42" s="12"/>
      <c r="AG42" s="12"/>
      <c r="AH42" s="12"/>
      <c r="AI42" s="13">
        <v>2</v>
      </c>
      <c r="AJ42" s="12"/>
      <c r="AK42" s="12"/>
      <c r="AL42" s="13">
        <v>4</v>
      </c>
      <c r="AM42" s="12"/>
      <c r="AN42" s="12"/>
      <c r="AO42" s="12"/>
      <c r="AP42" s="12"/>
      <c r="AQ42" s="12"/>
      <c r="AR42" s="12"/>
      <c r="AS42" s="12"/>
      <c r="AT42" s="12"/>
      <c r="AU42" s="12"/>
      <c r="AV42" s="12"/>
      <c r="AW42" s="12"/>
      <c r="AX42" s="12"/>
      <c r="AY42" s="12"/>
      <c r="AZ42" s="12"/>
      <c r="BA42" s="12"/>
      <c r="BB42" s="12"/>
      <c r="BC42" s="12"/>
      <c r="BD42" s="12"/>
      <c r="BE42" s="12"/>
      <c r="BF42" s="12"/>
      <c r="BG42" s="12"/>
      <c r="BH42" s="13">
        <f t="shared" si="0"/>
        <v>7</v>
      </c>
      <c r="BI42" s="14">
        <f>BH42*238.511428571429</f>
        <v>1669.5800000000031</v>
      </c>
    </row>
    <row r="43" spans="1:61" ht="38.25" x14ac:dyDescent="0.25">
      <c r="A43" s="10">
        <v>38</v>
      </c>
      <c r="B43" s="11" t="s">
        <v>176</v>
      </c>
      <c r="C43" s="10" t="s">
        <v>176</v>
      </c>
      <c r="D43" s="11" t="s">
        <v>177</v>
      </c>
      <c r="E43" s="10" t="s">
        <v>178</v>
      </c>
      <c r="F43" s="10" t="s">
        <v>67</v>
      </c>
      <c r="G43" s="12"/>
      <c r="H43" s="12"/>
      <c r="I43" s="12"/>
      <c r="J43" s="12"/>
      <c r="K43" s="12"/>
      <c r="L43" s="12"/>
      <c r="M43" s="12"/>
      <c r="N43" s="12"/>
      <c r="O43" s="12"/>
      <c r="P43" s="12"/>
      <c r="Q43" s="12"/>
      <c r="R43" s="12"/>
      <c r="S43" s="12"/>
      <c r="T43" s="12"/>
      <c r="U43" s="12"/>
      <c r="V43" s="12"/>
      <c r="W43" s="12"/>
      <c r="X43" s="12"/>
      <c r="Y43" s="13">
        <v>1</v>
      </c>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3">
        <f t="shared" si="0"/>
        <v>1</v>
      </c>
      <c r="BI43" s="15">
        <f>BH43*135</f>
        <v>135</v>
      </c>
    </row>
    <row r="44" spans="1:61" ht="51" x14ac:dyDescent="0.25">
      <c r="A44" s="10">
        <v>39</v>
      </c>
      <c r="B44" s="11" t="s">
        <v>179</v>
      </c>
      <c r="C44" s="10" t="s">
        <v>179</v>
      </c>
      <c r="D44" s="11" t="s">
        <v>180</v>
      </c>
      <c r="E44" s="10" t="s">
        <v>181</v>
      </c>
      <c r="F44" s="10" t="s">
        <v>67</v>
      </c>
      <c r="G44" s="12"/>
      <c r="H44" s="13">
        <v>2</v>
      </c>
      <c r="I44" s="13">
        <v>2</v>
      </c>
      <c r="J44" s="12"/>
      <c r="K44" s="12"/>
      <c r="L44" s="13">
        <v>4</v>
      </c>
      <c r="M44" s="12"/>
      <c r="N44" s="12"/>
      <c r="O44" s="12"/>
      <c r="P44" s="12"/>
      <c r="Q44" s="12"/>
      <c r="R44" s="12"/>
      <c r="S44" s="12"/>
      <c r="T44" s="12"/>
      <c r="U44" s="12"/>
      <c r="V44" s="12"/>
      <c r="W44" s="12"/>
      <c r="X44" s="12"/>
      <c r="Y44" s="12"/>
      <c r="Z44" s="13">
        <v>8</v>
      </c>
      <c r="AA44" s="12"/>
      <c r="AB44" s="12"/>
      <c r="AC44" s="12"/>
      <c r="AD44" s="12"/>
      <c r="AE44" s="12"/>
      <c r="AF44" s="12"/>
      <c r="AG44" s="12"/>
      <c r="AH44" s="13">
        <v>2</v>
      </c>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3">
        <f t="shared" si="0"/>
        <v>18</v>
      </c>
      <c r="BI44" s="14">
        <f>BH44*5375.00388888889</f>
        <v>96750.070000000022</v>
      </c>
    </row>
    <row r="45" spans="1:61" ht="51" x14ac:dyDescent="0.25">
      <c r="A45" s="10">
        <v>40</v>
      </c>
      <c r="B45" s="11" t="s">
        <v>182</v>
      </c>
      <c r="C45" s="10" t="s">
        <v>182</v>
      </c>
      <c r="D45" s="11" t="s">
        <v>183</v>
      </c>
      <c r="E45" s="10" t="s">
        <v>184</v>
      </c>
      <c r="F45" s="10" t="s">
        <v>67</v>
      </c>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3">
        <v>2</v>
      </c>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3">
        <f t="shared" si="0"/>
        <v>2</v>
      </c>
      <c r="BI45" s="14">
        <f>BH45*5600.005</f>
        <v>11200.01</v>
      </c>
    </row>
    <row r="46" spans="1:61" ht="102" x14ac:dyDescent="0.25">
      <c r="A46" s="10">
        <v>41</v>
      </c>
      <c r="B46" s="11" t="s">
        <v>185</v>
      </c>
      <c r="C46" s="10" t="s">
        <v>185</v>
      </c>
      <c r="D46" s="11" t="s">
        <v>186</v>
      </c>
      <c r="E46" s="10" t="s">
        <v>187</v>
      </c>
      <c r="F46" s="10" t="s">
        <v>67</v>
      </c>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3">
        <v>2</v>
      </c>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3">
        <f t="shared" si="0"/>
        <v>2</v>
      </c>
      <c r="BI46" s="14">
        <f>BH46*29332.5</f>
        <v>58665</v>
      </c>
    </row>
    <row r="47" spans="1:61" ht="25.5" x14ac:dyDescent="0.25">
      <c r="A47" s="10">
        <v>42</v>
      </c>
      <c r="B47" s="11" t="s">
        <v>188</v>
      </c>
      <c r="C47" s="10" t="s">
        <v>188</v>
      </c>
      <c r="D47" s="11" t="s">
        <v>189</v>
      </c>
      <c r="E47" s="10" t="s">
        <v>190</v>
      </c>
      <c r="F47" s="10" t="s">
        <v>67</v>
      </c>
      <c r="G47" s="12"/>
      <c r="H47" s="12"/>
      <c r="I47" s="12"/>
      <c r="J47" s="12"/>
      <c r="K47" s="12"/>
      <c r="L47" s="12"/>
      <c r="M47" s="12"/>
      <c r="N47" s="12"/>
      <c r="O47" s="12"/>
      <c r="P47" s="12"/>
      <c r="Q47" s="12"/>
      <c r="R47" s="12"/>
      <c r="S47" s="12"/>
      <c r="T47" s="12"/>
      <c r="U47" s="12"/>
      <c r="V47" s="12"/>
      <c r="W47" s="13">
        <v>2</v>
      </c>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3">
        <f t="shared" si="0"/>
        <v>2</v>
      </c>
      <c r="BI47" s="15">
        <f>BH47*300</f>
        <v>600</v>
      </c>
    </row>
    <row r="48" spans="1:61" ht="51" x14ac:dyDescent="0.25">
      <c r="A48" s="10">
        <v>43</v>
      </c>
      <c r="B48" s="11" t="s">
        <v>191</v>
      </c>
      <c r="C48" s="10" t="s">
        <v>191</v>
      </c>
      <c r="D48" s="11" t="s">
        <v>192</v>
      </c>
      <c r="E48" s="10" t="s">
        <v>193</v>
      </c>
      <c r="F48" s="10" t="s">
        <v>67</v>
      </c>
      <c r="G48" s="12"/>
      <c r="H48" s="12"/>
      <c r="I48" s="13">
        <v>2</v>
      </c>
      <c r="J48" s="13">
        <v>5</v>
      </c>
      <c r="K48" s="12"/>
      <c r="L48" s="12"/>
      <c r="M48" s="12"/>
      <c r="N48" s="12"/>
      <c r="O48" s="12"/>
      <c r="P48" s="12"/>
      <c r="Q48" s="12"/>
      <c r="R48" s="12"/>
      <c r="S48" s="12"/>
      <c r="T48" s="12"/>
      <c r="U48" s="12"/>
      <c r="V48" s="12"/>
      <c r="W48" s="12"/>
      <c r="X48" s="12"/>
      <c r="Y48" s="12"/>
      <c r="Z48" s="12"/>
      <c r="AA48" s="13">
        <v>10</v>
      </c>
      <c r="AB48" s="12"/>
      <c r="AC48" s="12"/>
      <c r="AD48" s="12"/>
      <c r="AE48" s="12"/>
      <c r="AF48" s="12"/>
      <c r="AG48" s="12"/>
      <c r="AH48" s="12"/>
      <c r="AI48" s="12"/>
      <c r="AJ48" s="12"/>
      <c r="AK48" s="12"/>
      <c r="AL48" s="13">
        <v>8</v>
      </c>
      <c r="AM48" s="12"/>
      <c r="AN48" s="12"/>
      <c r="AO48" s="12"/>
      <c r="AP48" s="12"/>
      <c r="AQ48" s="12"/>
      <c r="AR48" s="12"/>
      <c r="AS48" s="13">
        <v>1</v>
      </c>
      <c r="AT48" s="12"/>
      <c r="AU48" s="12"/>
      <c r="AV48" s="12"/>
      <c r="AW48" s="12"/>
      <c r="AX48" s="12"/>
      <c r="AY48" s="12"/>
      <c r="AZ48" s="12"/>
      <c r="BA48" s="12"/>
      <c r="BB48" s="12"/>
      <c r="BC48" s="12"/>
      <c r="BD48" s="12"/>
      <c r="BE48" s="12"/>
      <c r="BF48" s="12"/>
      <c r="BG48" s="12"/>
      <c r="BH48" s="13">
        <f t="shared" si="0"/>
        <v>26</v>
      </c>
      <c r="BI48" s="14">
        <f>BH48*348</f>
        <v>9048</v>
      </c>
    </row>
    <row r="49" spans="1:61" ht="38.25" x14ac:dyDescent="0.25">
      <c r="A49" s="10">
        <v>44</v>
      </c>
      <c r="B49" s="11" t="s">
        <v>194</v>
      </c>
      <c r="C49" s="10" t="s">
        <v>194</v>
      </c>
      <c r="D49" s="11" t="s">
        <v>195</v>
      </c>
      <c r="E49" s="10" t="s">
        <v>196</v>
      </c>
      <c r="F49" s="10" t="s">
        <v>67</v>
      </c>
      <c r="G49" s="12"/>
      <c r="H49" s="12"/>
      <c r="I49" s="12"/>
      <c r="J49" s="13">
        <v>5</v>
      </c>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3">
        <v>8</v>
      </c>
      <c r="AM49" s="12"/>
      <c r="AN49" s="12"/>
      <c r="AO49" s="12"/>
      <c r="AP49" s="12"/>
      <c r="AQ49" s="12"/>
      <c r="AR49" s="12"/>
      <c r="AS49" s="13">
        <v>1</v>
      </c>
      <c r="AT49" s="12"/>
      <c r="AU49" s="12"/>
      <c r="AV49" s="12"/>
      <c r="AW49" s="12"/>
      <c r="AX49" s="12"/>
      <c r="AY49" s="12"/>
      <c r="AZ49" s="12"/>
      <c r="BA49" s="12"/>
      <c r="BB49" s="12"/>
      <c r="BC49" s="12"/>
      <c r="BD49" s="12"/>
      <c r="BE49" s="12"/>
      <c r="BF49" s="12"/>
      <c r="BG49" s="12"/>
      <c r="BH49" s="13">
        <f t="shared" si="0"/>
        <v>14</v>
      </c>
      <c r="BI49" s="14">
        <f>BH49*348</f>
        <v>4872</v>
      </c>
    </row>
    <row r="50" spans="1:61" ht="51" x14ac:dyDescent="0.25">
      <c r="A50" s="10">
        <v>45</v>
      </c>
      <c r="B50" s="11" t="s">
        <v>197</v>
      </c>
      <c r="C50" s="10" t="s">
        <v>197</v>
      </c>
      <c r="D50" s="11" t="s">
        <v>198</v>
      </c>
      <c r="E50" s="10" t="s">
        <v>199</v>
      </c>
      <c r="F50" s="10" t="s">
        <v>67</v>
      </c>
      <c r="G50" s="12"/>
      <c r="H50" s="12"/>
      <c r="I50" s="13">
        <v>2</v>
      </c>
      <c r="J50" s="12"/>
      <c r="K50" s="12"/>
      <c r="L50" s="13">
        <v>2</v>
      </c>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3">
        <f t="shared" si="0"/>
        <v>4</v>
      </c>
      <c r="BI50" s="14">
        <f>BH50*449.3875</f>
        <v>1797.55</v>
      </c>
    </row>
    <row r="51" spans="1:61" ht="76.5" x14ac:dyDescent="0.25">
      <c r="A51" s="10">
        <v>46</v>
      </c>
      <c r="B51" s="11" t="s">
        <v>200</v>
      </c>
      <c r="C51" s="10" t="s">
        <v>200</v>
      </c>
      <c r="D51" s="11" t="s">
        <v>201</v>
      </c>
      <c r="E51" s="10" t="s">
        <v>202</v>
      </c>
      <c r="F51" s="10" t="s">
        <v>67</v>
      </c>
      <c r="G51" s="12"/>
      <c r="H51" s="12"/>
      <c r="I51" s="12"/>
      <c r="J51" s="12"/>
      <c r="K51" s="12"/>
      <c r="L51" s="13">
        <v>2</v>
      </c>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3">
        <f t="shared" si="0"/>
        <v>2</v>
      </c>
      <c r="BI51" s="14">
        <f>BH51*2298</f>
        <v>4596</v>
      </c>
    </row>
    <row r="52" spans="1:61" ht="51" x14ac:dyDescent="0.25">
      <c r="A52" s="10">
        <v>47</v>
      </c>
      <c r="B52" s="11" t="s">
        <v>203</v>
      </c>
      <c r="C52" s="10" t="s">
        <v>203</v>
      </c>
      <c r="D52" s="11" t="s">
        <v>204</v>
      </c>
      <c r="E52" s="10" t="s">
        <v>205</v>
      </c>
      <c r="F52" s="10" t="s">
        <v>67</v>
      </c>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3">
        <v>3</v>
      </c>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3">
        <f t="shared" si="0"/>
        <v>3</v>
      </c>
      <c r="BI52" s="14">
        <f>BH52*2305.53666666667</f>
        <v>6916.6100000000097</v>
      </c>
    </row>
    <row r="53" spans="1:61" ht="51" x14ac:dyDescent="0.25">
      <c r="A53" s="10">
        <v>48</v>
      </c>
      <c r="B53" s="11" t="s">
        <v>206</v>
      </c>
      <c r="C53" s="10" t="s">
        <v>206</v>
      </c>
      <c r="D53" s="11" t="s">
        <v>207</v>
      </c>
      <c r="E53" s="10" t="s">
        <v>208</v>
      </c>
      <c r="F53" s="10" t="s">
        <v>67</v>
      </c>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3">
        <v>3</v>
      </c>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3">
        <f t="shared" si="0"/>
        <v>3</v>
      </c>
      <c r="BI53" s="14">
        <f>BH53*2305.53666666667</f>
        <v>6916.6100000000097</v>
      </c>
    </row>
    <row r="54" spans="1:61" ht="51" x14ac:dyDescent="0.25">
      <c r="A54" s="10">
        <v>49</v>
      </c>
      <c r="B54" s="11" t="s">
        <v>209</v>
      </c>
      <c r="C54" s="10" t="s">
        <v>209</v>
      </c>
      <c r="D54" s="11" t="s">
        <v>210</v>
      </c>
      <c r="E54" s="10" t="s">
        <v>211</v>
      </c>
      <c r="F54" s="10" t="s">
        <v>67</v>
      </c>
      <c r="G54" s="12"/>
      <c r="H54" s="12"/>
      <c r="I54" s="12"/>
      <c r="J54" s="12"/>
      <c r="K54" s="12"/>
      <c r="L54" s="12"/>
      <c r="M54" s="12"/>
      <c r="N54" s="12"/>
      <c r="O54" s="12"/>
      <c r="P54" s="12"/>
      <c r="Q54" s="12"/>
      <c r="R54" s="12"/>
      <c r="S54" s="12"/>
      <c r="T54" s="12"/>
      <c r="U54" s="12"/>
      <c r="V54" s="12"/>
      <c r="W54" s="12"/>
      <c r="X54" s="12"/>
      <c r="Y54" s="13">
        <v>1</v>
      </c>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3">
        <f t="shared" si="0"/>
        <v>1</v>
      </c>
      <c r="BI54" s="14">
        <f>BH54*2354.83</f>
        <v>2354.83</v>
      </c>
    </row>
    <row r="55" spans="1:61" ht="38.25" x14ac:dyDescent="0.25">
      <c r="A55" s="10">
        <v>50</v>
      </c>
      <c r="B55" s="11" t="s">
        <v>212</v>
      </c>
      <c r="C55" s="10" t="s">
        <v>212</v>
      </c>
      <c r="D55" s="11" t="s">
        <v>213</v>
      </c>
      <c r="E55" s="10" t="s">
        <v>214</v>
      </c>
      <c r="F55" s="10" t="s">
        <v>67</v>
      </c>
      <c r="G55" s="12"/>
      <c r="H55" s="12"/>
      <c r="I55" s="13">
        <v>70</v>
      </c>
      <c r="J55" s="12"/>
      <c r="K55" s="12"/>
      <c r="L55" s="12"/>
      <c r="M55" s="12"/>
      <c r="N55" s="12"/>
      <c r="O55" s="12"/>
      <c r="P55" s="12"/>
      <c r="Q55" s="12"/>
      <c r="R55" s="12"/>
      <c r="S55" s="12"/>
      <c r="T55" s="12"/>
      <c r="U55" s="12"/>
      <c r="V55" s="12"/>
      <c r="W55" s="12"/>
      <c r="X55" s="12"/>
      <c r="Y55" s="12"/>
      <c r="Z55" s="13">
        <v>70</v>
      </c>
      <c r="AA55" s="12"/>
      <c r="AB55" s="12"/>
      <c r="AC55" s="12"/>
      <c r="AD55" s="13">
        <v>10</v>
      </c>
      <c r="AE55" s="12"/>
      <c r="AF55" s="12"/>
      <c r="AG55" s="12"/>
      <c r="AH55" s="12"/>
      <c r="AI55" s="13">
        <v>10</v>
      </c>
      <c r="AJ55" s="12"/>
      <c r="AK55" s="12"/>
      <c r="AL55" s="13">
        <v>100</v>
      </c>
      <c r="AM55" s="12"/>
      <c r="AN55" s="12"/>
      <c r="AO55" s="12"/>
      <c r="AP55" s="12"/>
      <c r="AQ55" s="12"/>
      <c r="AR55" s="12"/>
      <c r="AS55" s="12"/>
      <c r="AT55" s="12"/>
      <c r="AU55" s="12"/>
      <c r="AV55" s="12"/>
      <c r="AW55" s="12"/>
      <c r="AX55" s="12"/>
      <c r="AY55" s="12"/>
      <c r="AZ55" s="12"/>
      <c r="BA55" s="12"/>
      <c r="BB55" s="13">
        <v>20</v>
      </c>
      <c r="BC55" s="12"/>
      <c r="BD55" s="13">
        <v>2</v>
      </c>
      <c r="BE55" s="12"/>
      <c r="BF55" s="12"/>
      <c r="BG55" s="12"/>
      <c r="BH55" s="13">
        <f t="shared" si="0"/>
        <v>282</v>
      </c>
      <c r="BI55" s="14">
        <f>BH55*81.6719858156028</f>
        <v>23031.499999999989</v>
      </c>
    </row>
    <row r="56" spans="1:61" ht="51" x14ac:dyDescent="0.25">
      <c r="A56" s="10">
        <v>51</v>
      </c>
      <c r="B56" s="11" t="s">
        <v>215</v>
      </c>
      <c r="C56" s="10" t="s">
        <v>215</v>
      </c>
      <c r="D56" s="11" t="s">
        <v>216</v>
      </c>
      <c r="E56" s="10" t="s">
        <v>217</v>
      </c>
      <c r="F56" s="10" t="s">
        <v>67</v>
      </c>
      <c r="G56" s="12"/>
      <c r="H56" s="12"/>
      <c r="I56" s="13">
        <v>50</v>
      </c>
      <c r="J56" s="13">
        <v>50</v>
      </c>
      <c r="K56" s="13">
        <v>30</v>
      </c>
      <c r="L56" s="13">
        <v>10</v>
      </c>
      <c r="M56" s="12"/>
      <c r="N56" s="12"/>
      <c r="O56" s="12"/>
      <c r="P56" s="12"/>
      <c r="Q56" s="12"/>
      <c r="R56" s="12"/>
      <c r="S56" s="12"/>
      <c r="T56" s="12"/>
      <c r="U56" s="12"/>
      <c r="V56" s="12"/>
      <c r="W56" s="12"/>
      <c r="X56" s="12"/>
      <c r="Y56" s="12"/>
      <c r="Z56" s="12"/>
      <c r="AA56" s="12"/>
      <c r="AB56" s="12"/>
      <c r="AC56" s="12"/>
      <c r="AD56" s="13">
        <v>10</v>
      </c>
      <c r="AE56" s="12"/>
      <c r="AF56" s="12"/>
      <c r="AG56" s="12"/>
      <c r="AH56" s="12"/>
      <c r="AI56" s="13">
        <v>5</v>
      </c>
      <c r="AJ56" s="12"/>
      <c r="AK56" s="12"/>
      <c r="AL56" s="13">
        <v>23</v>
      </c>
      <c r="AM56" s="12"/>
      <c r="AN56" s="12"/>
      <c r="AO56" s="12"/>
      <c r="AP56" s="12"/>
      <c r="AQ56" s="12"/>
      <c r="AR56" s="12"/>
      <c r="AS56" s="12"/>
      <c r="AT56" s="12"/>
      <c r="AU56" s="12"/>
      <c r="AV56" s="12"/>
      <c r="AW56" s="12"/>
      <c r="AX56" s="12"/>
      <c r="AY56" s="12"/>
      <c r="AZ56" s="12"/>
      <c r="BA56" s="12"/>
      <c r="BB56" s="13">
        <v>20</v>
      </c>
      <c r="BC56" s="12"/>
      <c r="BD56" s="12"/>
      <c r="BE56" s="12"/>
      <c r="BF56" s="12"/>
      <c r="BG56" s="12"/>
      <c r="BH56" s="13">
        <f t="shared" si="0"/>
        <v>198</v>
      </c>
      <c r="BI56" s="14">
        <f>BH56*57.12</f>
        <v>11309.76</v>
      </c>
    </row>
    <row r="57" spans="1:61" ht="51" x14ac:dyDescent="0.25">
      <c r="A57" s="10">
        <v>52</v>
      </c>
      <c r="B57" s="11" t="s">
        <v>218</v>
      </c>
      <c r="C57" s="10" t="s">
        <v>218</v>
      </c>
      <c r="D57" s="11" t="s">
        <v>219</v>
      </c>
      <c r="E57" s="10" t="s">
        <v>220</v>
      </c>
      <c r="F57" s="10" t="s">
        <v>67</v>
      </c>
      <c r="G57" s="12"/>
      <c r="H57" s="12"/>
      <c r="I57" s="13">
        <v>40</v>
      </c>
      <c r="J57" s="13">
        <v>50</v>
      </c>
      <c r="K57" s="13">
        <v>30</v>
      </c>
      <c r="L57" s="13">
        <v>20</v>
      </c>
      <c r="M57" s="12"/>
      <c r="N57" s="12"/>
      <c r="O57" s="12"/>
      <c r="P57" s="12"/>
      <c r="Q57" s="12"/>
      <c r="R57" s="12"/>
      <c r="S57" s="12"/>
      <c r="T57" s="12"/>
      <c r="U57" s="12"/>
      <c r="V57" s="12"/>
      <c r="W57" s="12"/>
      <c r="X57" s="12"/>
      <c r="Y57" s="12"/>
      <c r="Z57" s="13">
        <v>10</v>
      </c>
      <c r="AA57" s="12"/>
      <c r="AB57" s="12"/>
      <c r="AC57" s="12"/>
      <c r="AD57" s="13">
        <v>10</v>
      </c>
      <c r="AE57" s="12"/>
      <c r="AF57" s="12"/>
      <c r="AG57" s="12"/>
      <c r="AH57" s="12"/>
      <c r="AI57" s="13">
        <v>5</v>
      </c>
      <c r="AJ57" s="12"/>
      <c r="AK57" s="12"/>
      <c r="AL57" s="13">
        <v>23</v>
      </c>
      <c r="AM57" s="12"/>
      <c r="AN57" s="12"/>
      <c r="AO57" s="12"/>
      <c r="AP57" s="12"/>
      <c r="AQ57" s="12"/>
      <c r="AR57" s="12"/>
      <c r="AS57" s="12"/>
      <c r="AT57" s="12"/>
      <c r="AU57" s="12"/>
      <c r="AV57" s="12"/>
      <c r="AW57" s="12"/>
      <c r="AX57" s="12"/>
      <c r="AY57" s="12"/>
      <c r="AZ57" s="12"/>
      <c r="BA57" s="12"/>
      <c r="BB57" s="13">
        <v>10</v>
      </c>
      <c r="BC57" s="12"/>
      <c r="BD57" s="12"/>
      <c r="BE57" s="12"/>
      <c r="BF57" s="12"/>
      <c r="BG57" s="12"/>
      <c r="BH57" s="13">
        <f t="shared" si="0"/>
        <v>198</v>
      </c>
      <c r="BI57" s="14">
        <f>BH57*57.12</f>
        <v>11309.76</v>
      </c>
    </row>
    <row r="58" spans="1:61" ht="51" x14ac:dyDescent="0.25">
      <c r="A58" s="10">
        <v>53</v>
      </c>
      <c r="B58" s="11" t="s">
        <v>221</v>
      </c>
      <c r="C58" s="10" t="s">
        <v>221</v>
      </c>
      <c r="D58" s="11" t="s">
        <v>222</v>
      </c>
      <c r="E58" s="10" t="s">
        <v>223</v>
      </c>
      <c r="F58" s="10" t="s">
        <v>67</v>
      </c>
      <c r="G58" s="12"/>
      <c r="H58" s="12"/>
      <c r="I58" s="13">
        <v>60</v>
      </c>
      <c r="J58" s="13">
        <v>50</v>
      </c>
      <c r="K58" s="13">
        <v>30</v>
      </c>
      <c r="L58" s="13">
        <v>30</v>
      </c>
      <c r="M58" s="12"/>
      <c r="N58" s="12"/>
      <c r="O58" s="12"/>
      <c r="P58" s="12"/>
      <c r="Q58" s="12"/>
      <c r="R58" s="12"/>
      <c r="S58" s="12"/>
      <c r="T58" s="12"/>
      <c r="U58" s="12"/>
      <c r="V58" s="12"/>
      <c r="W58" s="12"/>
      <c r="X58" s="12"/>
      <c r="Y58" s="12"/>
      <c r="Z58" s="13">
        <v>10</v>
      </c>
      <c r="AA58" s="12"/>
      <c r="AB58" s="12"/>
      <c r="AC58" s="12"/>
      <c r="AD58" s="12"/>
      <c r="AE58" s="12"/>
      <c r="AF58" s="12"/>
      <c r="AG58" s="12"/>
      <c r="AH58" s="12"/>
      <c r="AI58" s="13">
        <v>3</v>
      </c>
      <c r="AJ58" s="12"/>
      <c r="AK58" s="12"/>
      <c r="AL58" s="13">
        <v>23</v>
      </c>
      <c r="AM58" s="12"/>
      <c r="AN58" s="12"/>
      <c r="AO58" s="12"/>
      <c r="AP58" s="12"/>
      <c r="AQ58" s="12"/>
      <c r="AR58" s="12"/>
      <c r="AS58" s="12"/>
      <c r="AT58" s="12"/>
      <c r="AU58" s="12"/>
      <c r="AV58" s="12"/>
      <c r="AW58" s="12"/>
      <c r="AX58" s="12"/>
      <c r="AY58" s="12"/>
      <c r="AZ58" s="12"/>
      <c r="BA58" s="12"/>
      <c r="BB58" s="13">
        <v>20</v>
      </c>
      <c r="BC58" s="12"/>
      <c r="BD58" s="13">
        <v>6</v>
      </c>
      <c r="BE58" s="12"/>
      <c r="BF58" s="12"/>
      <c r="BG58" s="12"/>
      <c r="BH58" s="13">
        <f t="shared" si="0"/>
        <v>232</v>
      </c>
      <c r="BI58" s="14">
        <f>BH58*57.12</f>
        <v>13251.84</v>
      </c>
    </row>
    <row r="59" spans="1:61" ht="51" x14ac:dyDescent="0.25">
      <c r="A59" s="10">
        <v>54</v>
      </c>
      <c r="B59" s="11" t="s">
        <v>224</v>
      </c>
      <c r="C59" s="10" t="s">
        <v>224</v>
      </c>
      <c r="D59" s="11" t="s">
        <v>225</v>
      </c>
      <c r="E59" s="10" t="s">
        <v>226</v>
      </c>
      <c r="F59" s="10" t="s">
        <v>67</v>
      </c>
      <c r="G59" s="12"/>
      <c r="H59" s="13">
        <v>2</v>
      </c>
      <c r="I59" s="13">
        <v>35</v>
      </c>
      <c r="J59" s="13">
        <v>50</v>
      </c>
      <c r="K59" s="13">
        <v>10</v>
      </c>
      <c r="L59" s="13">
        <v>15</v>
      </c>
      <c r="M59" s="12"/>
      <c r="N59" s="12"/>
      <c r="O59" s="12"/>
      <c r="P59" s="12"/>
      <c r="Q59" s="12"/>
      <c r="R59" s="12"/>
      <c r="S59" s="12"/>
      <c r="T59" s="12"/>
      <c r="U59" s="12"/>
      <c r="V59" s="12"/>
      <c r="W59" s="12"/>
      <c r="X59" s="12"/>
      <c r="Y59" s="12"/>
      <c r="Z59" s="13">
        <v>18</v>
      </c>
      <c r="AA59" s="12"/>
      <c r="AB59" s="12"/>
      <c r="AC59" s="13">
        <v>10</v>
      </c>
      <c r="AD59" s="13">
        <v>15</v>
      </c>
      <c r="AE59" s="12"/>
      <c r="AF59" s="12"/>
      <c r="AG59" s="12"/>
      <c r="AH59" s="12"/>
      <c r="AI59" s="13">
        <v>5</v>
      </c>
      <c r="AJ59" s="12"/>
      <c r="AK59" s="12"/>
      <c r="AL59" s="13">
        <v>18</v>
      </c>
      <c r="AM59" s="12"/>
      <c r="AN59" s="12"/>
      <c r="AO59" s="12"/>
      <c r="AP59" s="12"/>
      <c r="AQ59" s="12"/>
      <c r="AR59" s="12"/>
      <c r="AS59" s="12"/>
      <c r="AT59" s="12"/>
      <c r="AU59" s="12"/>
      <c r="AV59" s="12"/>
      <c r="AW59" s="12"/>
      <c r="AX59" s="12"/>
      <c r="AY59" s="12"/>
      <c r="AZ59" s="12"/>
      <c r="BA59" s="12"/>
      <c r="BB59" s="13">
        <v>20</v>
      </c>
      <c r="BC59" s="12"/>
      <c r="BD59" s="12"/>
      <c r="BE59" s="12"/>
      <c r="BF59" s="12"/>
      <c r="BG59" s="12"/>
      <c r="BH59" s="13">
        <f t="shared" si="0"/>
        <v>198</v>
      </c>
      <c r="BI59" s="14">
        <f>BH59*234</f>
        <v>46332</v>
      </c>
    </row>
    <row r="60" spans="1:61" ht="51" x14ac:dyDescent="0.25">
      <c r="A60" s="10">
        <v>55</v>
      </c>
      <c r="B60" s="11" t="s">
        <v>227</v>
      </c>
      <c r="C60" s="10" t="s">
        <v>227</v>
      </c>
      <c r="D60" s="11" t="s">
        <v>228</v>
      </c>
      <c r="E60" s="10" t="s">
        <v>229</v>
      </c>
      <c r="F60" s="10" t="s">
        <v>67</v>
      </c>
      <c r="G60" s="12"/>
      <c r="H60" s="13">
        <v>42</v>
      </c>
      <c r="I60" s="13">
        <v>35</v>
      </c>
      <c r="J60" s="13">
        <v>50</v>
      </c>
      <c r="K60" s="13">
        <v>10</v>
      </c>
      <c r="L60" s="13">
        <v>15</v>
      </c>
      <c r="M60" s="12"/>
      <c r="N60" s="12"/>
      <c r="O60" s="12"/>
      <c r="P60" s="12"/>
      <c r="Q60" s="12"/>
      <c r="R60" s="12"/>
      <c r="S60" s="12"/>
      <c r="T60" s="12"/>
      <c r="U60" s="12"/>
      <c r="V60" s="12"/>
      <c r="W60" s="12"/>
      <c r="X60" s="12"/>
      <c r="Y60" s="12"/>
      <c r="Z60" s="13">
        <v>38</v>
      </c>
      <c r="AA60" s="12"/>
      <c r="AB60" s="12"/>
      <c r="AC60" s="13">
        <v>10</v>
      </c>
      <c r="AD60" s="13">
        <v>15</v>
      </c>
      <c r="AE60" s="12"/>
      <c r="AF60" s="12"/>
      <c r="AG60" s="12"/>
      <c r="AH60" s="12"/>
      <c r="AI60" s="13">
        <v>5</v>
      </c>
      <c r="AJ60" s="12"/>
      <c r="AK60" s="12"/>
      <c r="AL60" s="13">
        <v>18</v>
      </c>
      <c r="AM60" s="12"/>
      <c r="AN60" s="12"/>
      <c r="AO60" s="12"/>
      <c r="AP60" s="12"/>
      <c r="AQ60" s="12"/>
      <c r="AR60" s="12"/>
      <c r="AS60" s="12"/>
      <c r="AT60" s="12"/>
      <c r="AU60" s="12"/>
      <c r="AV60" s="12"/>
      <c r="AW60" s="12"/>
      <c r="AX60" s="12"/>
      <c r="AY60" s="12"/>
      <c r="AZ60" s="12"/>
      <c r="BA60" s="12"/>
      <c r="BB60" s="13">
        <v>20</v>
      </c>
      <c r="BC60" s="12"/>
      <c r="BD60" s="12"/>
      <c r="BE60" s="12"/>
      <c r="BF60" s="12"/>
      <c r="BG60" s="12"/>
      <c r="BH60" s="13">
        <f t="shared" si="0"/>
        <v>258</v>
      </c>
      <c r="BI60" s="14">
        <f>BH60*234</f>
        <v>60372</v>
      </c>
    </row>
    <row r="61" spans="1:61" ht="63.75" x14ac:dyDescent="0.25">
      <c r="A61" s="10">
        <v>56</v>
      </c>
      <c r="B61" s="11" t="s">
        <v>230</v>
      </c>
      <c r="C61" s="10" t="s">
        <v>230</v>
      </c>
      <c r="D61" s="11" t="s">
        <v>231</v>
      </c>
      <c r="E61" s="10" t="s">
        <v>232</v>
      </c>
      <c r="F61" s="10" t="s">
        <v>67</v>
      </c>
      <c r="G61" s="12"/>
      <c r="H61" s="12"/>
      <c r="I61" s="13">
        <v>10</v>
      </c>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3">
        <v>5</v>
      </c>
      <c r="AI61" s="12"/>
      <c r="AJ61" s="12"/>
      <c r="AK61" s="12"/>
      <c r="AL61" s="13">
        <v>4</v>
      </c>
      <c r="AM61" s="12"/>
      <c r="AN61" s="12"/>
      <c r="AO61" s="12"/>
      <c r="AP61" s="12"/>
      <c r="AQ61" s="12"/>
      <c r="AR61" s="12"/>
      <c r="AS61" s="12"/>
      <c r="AT61" s="12"/>
      <c r="AU61" s="12"/>
      <c r="AV61" s="12"/>
      <c r="AW61" s="12"/>
      <c r="AX61" s="12"/>
      <c r="AY61" s="12"/>
      <c r="AZ61" s="12"/>
      <c r="BA61" s="12"/>
      <c r="BB61" s="12"/>
      <c r="BC61" s="12"/>
      <c r="BD61" s="13">
        <v>2</v>
      </c>
      <c r="BE61" s="12"/>
      <c r="BF61" s="12"/>
      <c r="BG61" s="12"/>
      <c r="BH61" s="13">
        <f t="shared" si="0"/>
        <v>21</v>
      </c>
      <c r="BI61" s="14">
        <f>BH61*500.111904761905</f>
        <v>10502.350000000006</v>
      </c>
    </row>
    <row r="62" spans="1:61" ht="51" x14ac:dyDescent="0.25">
      <c r="A62" s="10">
        <v>57</v>
      </c>
      <c r="B62" s="11" t="s">
        <v>233</v>
      </c>
      <c r="C62" s="10" t="s">
        <v>233</v>
      </c>
      <c r="D62" s="11" t="s">
        <v>234</v>
      </c>
      <c r="E62" s="10" t="s">
        <v>235</v>
      </c>
      <c r="F62" s="10" t="s">
        <v>67</v>
      </c>
      <c r="G62" s="12"/>
      <c r="H62" s="12"/>
      <c r="I62" s="13">
        <v>20</v>
      </c>
      <c r="J62" s="12"/>
      <c r="K62" s="12"/>
      <c r="L62" s="12"/>
      <c r="M62" s="12"/>
      <c r="N62" s="12"/>
      <c r="O62" s="12"/>
      <c r="P62" s="12"/>
      <c r="Q62" s="12"/>
      <c r="R62" s="12"/>
      <c r="S62" s="12"/>
      <c r="T62" s="12"/>
      <c r="U62" s="12"/>
      <c r="V62" s="12"/>
      <c r="W62" s="12"/>
      <c r="X62" s="12"/>
      <c r="Y62" s="12"/>
      <c r="Z62" s="12"/>
      <c r="AA62" s="12"/>
      <c r="AB62" s="12"/>
      <c r="AC62" s="13">
        <v>10</v>
      </c>
      <c r="AD62" s="12"/>
      <c r="AE62" s="12"/>
      <c r="AF62" s="12"/>
      <c r="AG62" s="12"/>
      <c r="AH62" s="13">
        <v>5</v>
      </c>
      <c r="AI62" s="12"/>
      <c r="AJ62" s="12"/>
      <c r="AK62" s="12"/>
      <c r="AL62" s="13">
        <v>17</v>
      </c>
      <c r="AM62" s="12"/>
      <c r="AN62" s="12"/>
      <c r="AO62" s="12"/>
      <c r="AP62" s="12"/>
      <c r="AQ62" s="12"/>
      <c r="AR62" s="12"/>
      <c r="AS62" s="12"/>
      <c r="AT62" s="12"/>
      <c r="AU62" s="12"/>
      <c r="AV62" s="12"/>
      <c r="AW62" s="12"/>
      <c r="AX62" s="12"/>
      <c r="AY62" s="12"/>
      <c r="AZ62" s="12"/>
      <c r="BA62" s="12"/>
      <c r="BB62" s="12"/>
      <c r="BC62" s="12"/>
      <c r="BD62" s="13">
        <v>4</v>
      </c>
      <c r="BE62" s="12"/>
      <c r="BF62" s="12"/>
      <c r="BG62" s="12"/>
      <c r="BH62" s="13">
        <f t="shared" si="0"/>
        <v>56</v>
      </c>
      <c r="BI62" s="14">
        <f>BH62*257.22</f>
        <v>14404.320000000002</v>
      </c>
    </row>
    <row r="63" spans="1:61" ht="63.75" x14ac:dyDescent="0.25">
      <c r="A63" s="10">
        <v>58</v>
      </c>
      <c r="B63" s="11" t="s">
        <v>236</v>
      </c>
      <c r="C63" s="10" t="s">
        <v>236</v>
      </c>
      <c r="D63" s="11" t="s">
        <v>237</v>
      </c>
      <c r="E63" s="10" t="s">
        <v>238</v>
      </c>
      <c r="F63" s="10" t="s">
        <v>67</v>
      </c>
      <c r="G63" s="13">
        <v>50</v>
      </c>
      <c r="H63" s="12"/>
      <c r="I63" s="12"/>
      <c r="J63" s="12"/>
      <c r="K63" s="12"/>
      <c r="L63" s="13">
        <v>12</v>
      </c>
      <c r="M63" s="12"/>
      <c r="N63" s="12"/>
      <c r="O63" s="12"/>
      <c r="P63" s="12"/>
      <c r="Q63" s="12"/>
      <c r="R63" s="12"/>
      <c r="S63" s="12"/>
      <c r="T63" s="12"/>
      <c r="U63" s="12"/>
      <c r="V63" s="12"/>
      <c r="W63" s="12"/>
      <c r="X63" s="13">
        <v>40</v>
      </c>
      <c r="Y63" s="12"/>
      <c r="Z63" s="12"/>
      <c r="AA63" s="12"/>
      <c r="AB63" s="12"/>
      <c r="AC63" s="12"/>
      <c r="AD63" s="12"/>
      <c r="AE63" s="13">
        <v>2</v>
      </c>
      <c r="AF63" s="12"/>
      <c r="AG63" s="12"/>
      <c r="AH63" s="13">
        <v>430</v>
      </c>
      <c r="AI63" s="12"/>
      <c r="AJ63" s="12"/>
      <c r="AK63" s="12"/>
      <c r="AL63" s="12"/>
      <c r="AM63" s="12"/>
      <c r="AN63" s="12"/>
      <c r="AO63" s="12"/>
      <c r="AP63" s="12"/>
      <c r="AQ63" s="12"/>
      <c r="AR63" s="12"/>
      <c r="AS63" s="12"/>
      <c r="AT63" s="12"/>
      <c r="AU63" s="13">
        <v>40</v>
      </c>
      <c r="AV63" s="12"/>
      <c r="AW63" s="12"/>
      <c r="AX63" s="12"/>
      <c r="AY63" s="12"/>
      <c r="AZ63" s="12"/>
      <c r="BA63" s="12"/>
      <c r="BB63" s="12"/>
      <c r="BC63" s="12"/>
      <c r="BD63" s="12"/>
      <c r="BE63" s="12"/>
      <c r="BF63" s="12"/>
      <c r="BG63" s="12"/>
      <c r="BH63" s="13">
        <f t="shared" si="0"/>
        <v>574</v>
      </c>
      <c r="BI63" s="14">
        <f>BH63*29.0279965156794</f>
        <v>16662.069999999978</v>
      </c>
    </row>
    <row r="64" spans="1:61" ht="63.75" x14ac:dyDescent="0.25">
      <c r="A64" s="10">
        <v>59</v>
      </c>
      <c r="B64" s="11" t="s">
        <v>239</v>
      </c>
      <c r="C64" s="10" t="s">
        <v>239</v>
      </c>
      <c r="D64" s="11" t="s">
        <v>240</v>
      </c>
      <c r="E64" s="10" t="s">
        <v>241</v>
      </c>
      <c r="F64" s="10" t="s">
        <v>67</v>
      </c>
      <c r="G64" s="13">
        <v>10</v>
      </c>
      <c r="H64" s="12"/>
      <c r="I64" s="12"/>
      <c r="J64" s="12"/>
      <c r="K64" s="12"/>
      <c r="L64" s="12"/>
      <c r="M64" s="12"/>
      <c r="N64" s="12"/>
      <c r="O64" s="12"/>
      <c r="P64" s="12"/>
      <c r="Q64" s="12"/>
      <c r="R64" s="12"/>
      <c r="S64" s="12"/>
      <c r="T64" s="12"/>
      <c r="U64" s="12"/>
      <c r="V64" s="12"/>
      <c r="W64" s="12"/>
      <c r="X64" s="13">
        <v>40</v>
      </c>
      <c r="Y64" s="13">
        <v>10</v>
      </c>
      <c r="Z64" s="13">
        <v>100</v>
      </c>
      <c r="AA64" s="12"/>
      <c r="AB64" s="12"/>
      <c r="AC64" s="12"/>
      <c r="AD64" s="12"/>
      <c r="AE64" s="12"/>
      <c r="AF64" s="12"/>
      <c r="AG64" s="12"/>
      <c r="AH64" s="13">
        <v>430</v>
      </c>
      <c r="AI64" s="13">
        <v>5</v>
      </c>
      <c r="AJ64" s="12"/>
      <c r="AK64" s="12"/>
      <c r="AL64" s="12"/>
      <c r="AM64" s="12"/>
      <c r="AN64" s="12"/>
      <c r="AO64" s="12"/>
      <c r="AP64" s="12"/>
      <c r="AQ64" s="12"/>
      <c r="AR64" s="12"/>
      <c r="AS64" s="12"/>
      <c r="AT64" s="12"/>
      <c r="AU64" s="13">
        <v>40</v>
      </c>
      <c r="AV64" s="12"/>
      <c r="AW64" s="12"/>
      <c r="AX64" s="12"/>
      <c r="AY64" s="12"/>
      <c r="AZ64" s="12"/>
      <c r="BA64" s="12"/>
      <c r="BB64" s="12"/>
      <c r="BC64" s="12"/>
      <c r="BD64" s="12"/>
      <c r="BE64" s="12"/>
      <c r="BF64" s="12"/>
      <c r="BG64" s="12"/>
      <c r="BH64" s="13">
        <f t="shared" si="0"/>
        <v>635</v>
      </c>
      <c r="BI64" s="14">
        <f>BH64*29.028</f>
        <v>18432.78</v>
      </c>
    </row>
    <row r="65" spans="1:61" ht="63.75" x14ac:dyDescent="0.25">
      <c r="A65" s="10">
        <v>60</v>
      </c>
      <c r="B65" s="11" t="s">
        <v>242</v>
      </c>
      <c r="C65" s="10" t="s">
        <v>242</v>
      </c>
      <c r="D65" s="11" t="s">
        <v>243</v>
      </c>
      <c r="E65" s="10" t="s">
        <v>244</v>
      </c>
      <c r="F65" s="10" t="s">
        <v>67</v>
      </c>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3">
        <v>26</v>
      </c>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3">
        <f t="shared" si="0"/>
        <v>26</v>
      </c>
      <c r="BI65" s="14">
        <f>BH65*1992.36</f>
        <v>51801.36</v>
      </c>
    </row>
    <row r="66" spans="1:61" ht="63.75" x14ac:dyDescent="0.25">
      <c r="A66" s="10">
        <v>61</v>
      </c>
      <c r="B66" s="11" t="s">
        <v>245</v>
      </c>
      <c r="C66" s="10" t="s">
        <v>245</v>
      </c>
      <c r="D66" s="11" t="s">
        <v>246</v>
      </c>
      <c r="E66" s="10" t="s">
        <v>247</v>
      </c>
      <c r="F66" s="10" t="s">
        <v>67</v>
      </c>
      <c r="G66" s="12"/>
      <c r="H66" s="13">
        <v>2</v>
      </c>
      <c r="I66" s="13">
        <v>20</v>
      </c>
      <c r="J66" s="12"/>
      <c r="K66" s="12"/>
      <c r="L66" s="12"/>
      <c r="M66" s="12"/>
      <c r="N66" s="12"/>
      <c r="O66" s="12"/>
      <c r="P66" s="12"/>
      <c r="Q66" s="12"/>
      <c r="R66" s="12"/>
      <c r="S66" s="12"/>
      <c r="T66" s="12"/>
      <c r="U66" s="12"/>
      <c r="V66" s="12"/>
      <c r="W66" s="12"/>
      <c r="X66" s="12"/>
      <c r="Y66" s="13">
        <v>1</v>
      </c>
      <c r="Z66" s="12"/>
      <c r="AA66" s="12"/>
      <c r="AB66" s="12"/>
      <c r="AC66" s="12"/>
      <c r="AD66" s="12"/>
      <c r="AE66" s="12"/>
      <c r="AF66" s="12"/>
      <c r="AG66" s="12"/>
      <c r="AH66" s="13">
        <v>20</v>
      </c>
      <c r="AI66" s="12"/>
      <c r="AJ66" s="12"/>
      <c r="AK66" s="12"/>
      <c r="AL66" s="13">
        <v>12</v>
      </c>
      <c r="AM66" s="12"/>
      <c r="AN66" s="12"/>
      <c r="AO66" s="12"/>
      <c r="AP66" s="13">
        <v>5</v>
      </c>
      <c r="AQ66" s="12"/>
      <c r="AR66" s="12"/>
      <c r="AS66" s="12"/>
      <c r="AT66" s="12"/>
      <c r="AU66" s="12"/>
      <c r="AV66" s="12"/>
      <c r="AW66" s="12"/>
      <c r="AX66" s="12"/>
      <c r="AY66" s="12"/>
      <c r="AZ66" s="12"/>
      <c r="BA66" s="12"/>
      <c r="BB66" s="12"/>
      <c r="BC66" s="12"/>
      <c r="BD66" s="13">
        <v>6</v>
      </c>
      <c r="BE66" s="12"/>
      <c r="BF66" s="12"/>
      <c r="BG66" s="12"/>
      <c r="BH66" s="13">
        <f t="shared" si="0"/>
        <v>66</v>
      </c>
      <c r="BI66" s="14">
        <f>BH66*18</f>
        <v>1188</v>
      </c>
    </row>
    <row r="67" spans="1:61" ht="51" x14ac:dyDescent="0.25">
      <c r="A67" s="10">
        <v>62</v>
      </c>
      <c r="B67" s="11" t="s">
        <v>248</v>
      </c>
      <c r="C67" s="10" t="s">
        <v>248</v>
      </c>
      <c r="D67" s="11" t="s">
        <v>249</v>
      </c>
      <c r="E67" s="10" t="s">
        <v>250</v>
      </c>
      <c r="F67" s="10" t="s">
        <v>67</v>
      </c>
      <c r="G67" s="12"/>
      <c r="H67" s="12"/>
      <c r="I67" s="12"/>
      <c r="J67" s="12"/>
      <c r="K67" s="12"/>
      <c r="L67" s="12"/>
      <c r="M67" s="12"/>
      <c r="N67" s="12"/>
      <c r="O67" s="12"/>
      <c r="P67" s="12"/>
      <c r="Q67" s="12"/>
      <c r="R67" s="12"/>
      <c r="S67" s="12"/>
      <c r="T67" s="12"/>
      <c r="U67" s="12"/>
      <c r="V67" s="12"/>
      <c r="W67" s="12"/>
      <c r="X67" s="12"/>
      <c r="Y67" s="13">
        <v>1</v>
      </c>
      <c r="Z67" s="12"/>
      <c r="AA67" s="12"/>
      <c r="AB67" s="12"/>
      <c r="AC67" s="12"/>
      <c r="AD67" s="12"/>
      <c r="AE67" s="12"/>
      <c r="AF67" s="12"/>
      <c r="AG67" s="12"/>
      <c r="AH67" s="13">
        <v>4</v>
      </c>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3">
        <f t="shared" si="0"/>
        <v>5</v>
      </c>
      <c r="BI67" s="14">
        <f>BH67*3633</f>
        <v>18165</v>
      </c>
    </row>
    <row r="68" spans="1:61" ht="63.75" x14ac:dyDescent="0.25">
      <c r="A68" s="10">
        <v>63</v>
      </c>
      <c r="B68" s="11" t="s">
        <v>251</v>
      </c>
      <c r="C68" s="10" t="s">
        <v>251</v>
      </c>
      <c r="D68" s="11" t="s">
        <v>252</v>
      </c>
      <c r="E68" s="10" t="s">
        <v>253</v>
      </c>
      <c r="F68" s="10" t="s">
        <v>67</v>
      </c>
      <c r="G68" s="13">
        <v>2</v>
      </c>
      <c r="H68" s="12"/>
      <c r="I68" s="12"/>
      <c r="J68" s="12"/>
      <c r="K68" s="12"/>
      <c r="L68" s="12"/>
      <c r="M68" s="12"/>
      <c r="N68" s="12"/>
      <c r="O68" s="12"/>
      <c r="P68" s="12"/>
      <c r="Q68" s="12"/>
      <c r="R68" s="12"/>
      <c r="S68" s="12"/>
      <c r="T68" s="12"/>
      <c r="U68" s="12"/>
      <c r="V68" s="12"/>
      <c r="W68" s="12"/>
      <c r="X68" s="12"/>
      <c r="Y68" s="12"/>
      <c r="Z68" s="13">
        <v>4</v>
      </c>
      <c r="AA68" s="12"/>
      <c r="AB68" s="12"/>
      <c r="AC68" s="13">
        <v>1</v>
      </c>
      <c r="AD68" s="12"/>
      <c r="AE68" s="12"/>
      <c r="AF68" s="12"/>
      <c r="AG68" s="12"/>
      <c r="AH68" s="13">
        <v>15</v>
      </c>
      <c r="AI68" s="12"/>
      <c r="AJ68" s="12"/>
      <c r="AK68" s="12"/>
      <c r="AL68" s="12"/>
      <c r="AM68" s="12"/>
      <c r="AN68" s="12"/>
      <c r="AO68" s="12"/>
      <c r="AP68" s="12"/>
      <c r="AQ68" s="12"/>
      <c r="AR68" s="12"/>
      <c r="AS68" s="12"/>
      <c r="AT68" s="12"/>
      <c r="AU68" s="12"/>
      <c r="AV68" s="12"/>
      <c r="AW68" s="12"/>
      <c r="AX68" s="12"/>
      <c r="AY68" s="12"/>
      <c r="AZ68" s="13">
        <v>2</v>
      </c>
      <c r="BA68" s="12"/>
      <c r="BB68" s="12"/>
      <c r="BC68" s="12"/>
      <c r="BD68" s="13">
        <v>3</v>
      </c>
      <c r="BE68" s="12"/>
      <c r="BF68" s="12"/>
      <c r="BG68" s="12"/>
      <c r="BH68" s="13">
        <f t="shared" si="0"/>
        <v>27</v>
      </c>
      <c r="BI68" s="14">
        <f>BH68*694.38</f>
        <v>18748.259999999998</v>
      </c>
    </row>
    <row r="69" spans="1:61" ht="51" x14ac:dyDescent="0.25">
      <c r="A69" s="10">
        <v>64</v>
      </c>
      <c r="B69" s="11" t="s">
        <v>254</v>
      </c>
      <c r="C69" s="10" t="s">
        <v>254</v>
      </c>
      <c r="D69" s="11" t="s">
        <v>255</v>
      </c>
      <c r="E69" s="10" t="s">
        <v>256</v>
      </c>
      <c r="F69" s="10" t="s">
        <v>67</v>
      </c>
      <c r="G69" s="12"/>
      <c r="H69" s="12"/>
      <c r="I69" s="12"/>
      <c r="J69" s="12"/>
      <c r="K69" s="12"/>
      <c r="L69" s="12"/>
      <c r="M69" s="12"/>
      <c r="N69" s="12"/>
      <c r="O69" s="12"/>
      <c r="P69" s="12"/>
      <c r="Q69" s="12"/>
      <c r="R69" s="12"/>
      <c r="S69" s="12"/>
      <c r="T69" s="12"/>
      <c r="U69" s="12"/>
      <c r="V69" s="12"/>
      <c r="W69" s="12"/>
      <c r="X69" s="12"/>
      <c r="Y69" s="12"/>
      <c r="Z69" s="12"/>
      <c r="AA69" s="12"/>
      <c r="AB69" s="12"/>
      <c r="AC69" s="13">
        <v>1</v>
      </c>
      <c r="AD69" s="12"/>
      <c r="AE69" s="12"/>
      <c r="AF69" s="12"/>
      <c r="AG69" s="12"/>
      <c r="AH69" s="13">
        <v>5</v>
      </c>
      <c r="AI69" s="13">
        <v>2</v>
      </c>
      <c r="AJ69" s="12"/>
      <c r="AK69" s="12"/>
      <c r="AL69" s="12"/>
      <c r="AM69" s="12"/>
      <c r="AN69" s="12"/>
      <c r="AO69" s="12"/>
      <c r="AP69" s="13">
        <v>1</v>
      </c>
      <c r="AQ69" s="12"/>
      <c r="AR69" s="12"/>
      <c r="AS69" s="12"/>
      <c r="AT69" s="12"/>
      <c r="AU69" s="12"/>
      <c r="AV69" s="12"/>
      <c r="AW69" s="12"/>
      <c r="AX69" s="12"/>
      <c r="AY69" s="12"/>
      <c r="AZ69" s="12"/>
      <c r="BA69" s="12"/>
      <c r="BB69" s="12"/>
      <c r="BC69" s="12"/>
      <c r="BD69" s="12"/>
      <c r="BE69" s="12"/>
      <c r="BF69" s="12"/>
      <c r="BG69" s="12"/>
      <c r="BH69" s="13">
        <f t="shared" si="0"/>
        <v>9</v>
      </c>
      <c r="BI69" s="14">
        <f>BH69*720.48</f>
        <v>6484.32</v>
      </c>
    </row>
    <row r="70" spans="1:61" ht="51" x14ac:dyDescent="0.25">
      <c r="A70" s="10">
        <v>65</v>
      </c>
      <c r="B70" s="11" t="s">
        <v>257</v>
      </c>
      <c r="C70" s="10" t="s">
        <v>257</v>
      </c>
      <c r="D70" s="11" t="s">
        <v>258</v>
      </c>
      <c r="E70" s="10" t="s">
        <v>259</v>
      </c>
      <c r="F70" s="10" t="s">
        <v>67</v>
      </c>
      <c r="G70" s="12"/>
      <c r="H70" s="12"/>
      <c r="I70" s="12"/>
      <c r="J70" s="13">
        <v>20</v>
      </c>
      <c r="K70" s="12"/>
      <c r="L70" s="12"/>
      <c r="M70" s="12"/>
      <c r="N70" s="12"/>
      <c r="O70" s="12"/>
      <c r="P70" s="12"/>
      <c r="Q70" s="12"/>
      <c r="R70" s="12"/>
      <c r="S70" s="12"/>
      <c r="T70" s="12"/>
      <c r="U70" s="12"/>
      <c r="V70" s="12"/>
      <c r="W70" s="12"/>
      <c r="X70" s="12"/>
      <c r="Y70" s="12"/>
      <c r="Z70" s="13">
        <v>100</v>
      </c>
      <c r="AA70" s="13">
        <v>1</v>
      </c>
      <c r="AB70" s="12"/>
      <c r="AC70" s="12"/>
      <c r="AD70" s="13">
        <v>2</v>
      </c>
      <c r="AE70" s="12"/>
      <c r="AF70" s="12"/>
      <c r="AG70" s="12"/>
      <c r="AH70" s="12"/>
      <c r="AI70" s="12"/>
      <c r="AJ70" s="12"/>
      <c r="AK70" s="12"/>
      <c r="AL70" s="13">
        <v>2</v>
      </c>
      <c r="AM70" s="12"/>
      <c r="AN70" s="12"/>
      <c r="AO70" s="12"/>
      <c r="AP70" s="12"/>
      <c r="AQ70" s="12"/>
      <c r="AR70" s="12"/>
      <c r="AS70" s="13">
        <v>1</v>
      </c>
      <c r="AT70" s="13">
        <v>2</v>
      </c>
      <c r="AU70" s="12"/>
      <c r="AV70" s="12"/>
      <c r="AW70" s="12"/>
      <c r="AX70" s="12"/>
      <c r="AY70" s="12"/>
      <c r="AZ70" s="12"/>
      <c r="BA70" s="12"/>
      <c r="BB70" s="13">
        <v>4</v>
      </c>
      <c r="BC70" s="12"/>
      <c r="BD70" s="12"/>
      <c r="BE70" s="12"/>
      <c r="BF70" s="13">
        <v>1</v>
      </c>
      <c r="BG70" s="13"/>
      <c r="BH70" s="13">
        <f t="shared" ref="BH70:BH133" si="1">SUM(G70:BG70)</f>
        <v>133</v>
      </c>
      <c r="BI70" s="14">
        <f>BH70*810</f>
        <v>107730</v>
      </c>
    </row>
    <row r="71" spans="1:61" ht="38.25" x14ac:dyDescent="0.25">
      <c r="A71" s="10">
        <v>66</v>
      </c>
      <c r="B71" s="11" t="s">
        <v>260</v>
      </c>
      <c r="C71" s="10" t="s">
        <v>260</v>
      </c>
      <c r="D71" s="11" t="s">
        <v>261</v>
      </c>
      <c r="E71" s="10" t="s">
        <v>262</v>
      </c>
      <c r="F71" s="10" t="s">
        <v>67</v>
      </c>
      <c r="G71" s="12"/>
      <c r="H71" s="12"/>
      <c r="I71" s="12"/>
      <c r="J71" s="12"/>
      <c r="K71" s="12"/>
      <c r="L71" s="12"/>
      <c r="M71" s="12"/>
      <c r="N71" s="12"/>
      <c r="O71" s="12"/>
      <c r="P71" s="12"/>
      <c r="Q71" s="12"/>
      <c r="R71" s="12"/>
      <c r="S71" s="12"/>
      <c r="T71" s="12"/>
      <c r="U71" s="12"/>
      <c r="V71" s="12"/>
      <c r="W71" s="12"/>
      <c r="X71" s="13">
        <v>3</v>
      </c>
      <c r="Y71" s="13">
        <v>5</v>
      </c>
      <c r="Z71" s="12"/>
      <c r="AA71" s="12"/>
      <c r="AB71" s="12"/>
      <c r="AC71" s="12"/>
      <c r="AD71" s="12"/>
      <c r="AE71" s="12"/>
      <c r="AF71" s="12"/>
      <c r="AG71" s="12"/>
      <c r="AH71" s="13">
        <v>24</v>
      </c>
      <c r="AI71" s="12"/>
      <c r="AJ71" s="12"/>
      <c r="AK71" s="12"/>
      <c r="AL71" s="12"/>
      <c r="AM71" s="12"/>
      <c r="AN71" s="12"/>
      <c r="AO71" s="12"/>
      <c r="AP71" s="13">
        <v>2</v>
      </c>
      <c r="AQ71" s="12"/>
      <c r="AR71" s="12"/>
      <c r="AS71" s="12"/>
      <c r="AT71" s="12"/>
      <c r="AU71" s="12"/>
      <c r="AV71" s="12"/>
      <c r="AW71" s="12"/>
      <c r="AX71" s="12"/>
      <c r="AY71" s="12"/>
      <c r="AZ71" s="12"/>
      <c r="BA71" s="12"/>
      <c r="BB71" s="12"/>
      <c r="BC71" s="12"/>
      <c r="BD71" s="12"/>
      <c r="BE71" s="12"/>
      <c r="BF71" s="12"/>
      <c r="BG71" s="12"/>
      <c r="BH71" s="13">
        <f t="shared" si="1"/>
        <v>34</v>
      </c>
      <c r="BI71" s="14">
        <f>BH71*40.0079411764706</f>
        <v>1360.2700000000004</v>
      </c>
    </row>
    <row r="72" spans="1:61" ht="38.25" x14ac:dyDescent="0.25">
      <c r="A72" s="10">
        <v>67</v>
      </c>
      <c r="B72" s="11" t="s">
        <v>263</v>
      </c>
      <c r="C72" s="10" t="s">
        <v>263</v>
      </c>
      <c r="D72" s="11" t="s">
        <v>264</v>
      </c>
      <c r="E72" s="10" t="s">
        <v>265</v>
      </c>
      <c r="F72" s="10" t="s">
        <v>67</v>
      </c>
      <c r="G72" s="12"/>
      <c r="H72" s="12"/>
      <c r="I72" s="12"/>
      <c r="J72" s="12"/>
      <c r="K72" s="12"/>
      <c r="L72" s="12"/>
      <c r="M72" s="12"/>
      <c r="N72" s="12"/>
      <c r="O72" s="12"/>
      <c r="P72" s="12"/>
      <c r="Q72" s="12"/>
      <c r="R72" s="12"/>
      <c r="S72" s="12"/>
      <c r="T72" s="12"/>
      <c r="U72" s="12"/>
      <c r="V72" s="12"/>
      <c r="W72" s="12"/>
      <c r="X72" s="13">
        <v>3</v>
      </c>
      <c r="Y72" s="13">
        <v>5</v>
      </c>
      <c r="Z72" s="12"/>
      <c r="AA72" s="12"/>
      <c r="AB72" s="12"/>
      <c r="AC72" s="12"/>
      <c r="AD72" s="12"/>
      <c r="AE72" s="12"/>
      <c r="AF72" s="12"/>
      <c r="AG72" s="12"/>
      <c r="AH72" s="13">
        <v>24</v>
      </c>
      <c r="AI72" s="12"/>
      <c r="AJ72" s="12"/>
      <c r="AK72" s="12"/>
      <c r="AL72" s="12"/>
      <c r="AM72" s="12"/>
      <c r="AN72" s="12"/>
      <c r="AO72" s="12"/>
      <c r="AP72" s="13">
        <v>2</v>
      </c>
      <c r="AQ72" s="12"/>
      <c r="AR72" s="12"/>
      <c r="AS72" s="12"/>
      <c r="AT72" s="12"/>
      <c r="AU72" s="12"/>
      <c r="AV72" s="12"/>
      <c r="AW72" s="12"/>
      <c r="AX72" s="12"/>
      <c r="AY72" s="12"/>
      <c r="AZ72" s="12"/>
      <c r="BA72" s="12"/>
      <c r="BB72" s="12"/>
      <c r="BC72" s="12"/>
      <c r="BD72" s="12"/>
      <c r="BE72" s="12"/>
      <c r="BF72" s="12"/>
      <c r="BG72" s="12"/>
      <c r="BH72" s="13">
        <f t="shared" si="1"/>
        <v>34</v>
      </c>
      <c r="BI72" s="14">
        <f>BH72*40.0079411764706</f>
        <v>1360.2700000000004</v>
      </c>
    </row>
    <row r="73" spans="1:61" ht="63.75" x14ac:dyDescent="0.25">
      <c r="A73" s="10">
        <v>68</v>
      </c>
      <c r="B73" s="11" t="s">
        <v>266</v>
      </c>
      <c r="C73" s="10" t="s">
        <v>266</v>
      </c>
      <c r="D73" s="11" t="s">
        <v>267</v>
      </c>
      <c r="E73" s="10" t="s">
        <v>268</v>
      </c>
      <c r="F73" s="10" t="s">
        <v>67</v>
      </c>
      <c r="G73" s="12"/>
      <c r="H73" s="12"/>
      <c r="I73" s="12"/>
      <c r="J73" s="12"/>
      <c r="K73" s="12"/>
      <c r="L73" s="12"/>
      <c r="M73" s="12"/>
      <c r="N73" s="12"/>
      <c r="O73" s="12"/>
      <c r="P73" s="12"/>
      <c r="Q73" s="12"/>
      <c r="R73" s="12"/>
      <c r="S73" s="12"/>
      <c r="T73" s="12"/>
      <c r="U73" s="12"/>
      <c r="V73" s="12"/>
      <c r="W73" s="12"/>
      <c r="X73" s="12"/>
      <c r="Y73" s="13">
        <v>1</v>
      </c>
      <c r="Z73" s="12"/>
      <c r="AA73" s="12"/>
      <c r="AB73" s="12"/>
      <c r="AC73" s="13">
        <v>6</v>
      </c>
      <c r="AD73" s="12"/>
      <c r="AE73" s="12"/>
      <c r="AF73" s="12"/>
      <c r="AG73" s="12"/>
      <c r="AH73" s="13">
        <v>9</v>
      </c>
      <c r="AI73" s="12"/>
      <c r="AJ73" s="12"/>
      <c r="AK73" s="12"/>
      <c r="AL73" s="12"/>
      <c r="AM73" s="12"/>
      <c r="AN73" s="12"/>
      <c r="AO73" s="12"/>
      <c r="AP73" s="13">
        <v>1</v>
      </c>
      <c r="AQ73" s="12"/>
      <c r="AR73" s="12"/>
      <c r="AS73" s="12"/>
      <c r="AT73" s="12"/>
      <c r="AU73" s="12"/>
      <c r="AV73" s="12"/>
      <c r="AW73" s="12"/>
      <c r="AX73" s="12"/>
      <c r="AY73" s="12"/>
      <c r="AZ73" s="12"/>
      <c r="BA73" s="12"/>
      <c r="BB73" s="12"/>
      <c r="BC73" s="12"/>
      <c r="BD73" s="12"/>
      <c r="BE73" s="12"/>
      <c r="BF73" s="12"/>
      <c r="BG73" s="12"/>
      <c r="BH73" s="13">
        <f t="shared" si="1"/>
        <v>17</v>
      </c>
      <c r="BI73" s="14">
        <f>BH73*7972.94411764706</f>
        <v>135540.05000000002</v>
      </c>
    </row>
    <row r="74" spans="1:61" ht="63.75" x14ac:dyDescent="0.25">
      <c r="A74" s="10">
        <v>69</v>
      </c>
      <c r="B74" s="11" t="s">
        <v>269</v>
      </c>
      <c r="C74" s="10" t="s">
        <v>269</v>
      </c>
      <c r="D74" s="11" t="s">
        <v>270</v>
      </c>
      <c r="E74" s="10" t="s">
        <v>271</v>
      </c>
      <c r="F74" s="10" t="s">
        <v>67</v>
      </c>
      <c r="G74" s="12"/>
      <c r="H74" s="12"/>
      <c r="I74" s="12"/>
      <c r="J74" s="12"/>
      <c r="K74" s="12"/>
      <c r="L74" s="12"/>
      <c r="M74" s="12"/>
      <c r="N74" s="12"/>
      <c r="O74" s="12"/>
      <c r="P74" s="12"/>
      <c r="Q74" s="12"/>
      <c r="R74" s="12"/>
      <c r="S74" s="12"/>
      <c r="T74" s="12"/>
      <c r="U74" s="12"/>
      <c r="V74" s="12"/>
      <c r="W74" s="12"/>
      <c r="X74" s="12"/>
      <c r="Y74" s="12"/>
      <c r="Z74" s="12"/>
      <c r="AA74" s="12"/>
      <c r="AB74" s="12"/>
      <c r="AC74" s="13">
        <v>2</v>
      </c>
      <c r="AD74" s="12"/>
      <c r="AE74" s="12"/>
      <c r="AF74" s="12"/>
      <c r="AG74" s="12"/>
      <c r="AH74" s="13">
        <v>15</v>
      </c>
      <c r="AI74" s="12"/>
      <c r="AJ74" s="12"/>
      <c r="AK74" s="12"/>
      <c r="AL74" s="12"/>
      <c r="AM74" s="12"/>
      <c r="AN74" s="12"/>
      <c r="AO74" s="12"/>
      <c r="AP74" s="13">
        <v>1</v>
      </c>
      <c r="AQ74" s="12"/>
      <c r="AR74" s="12"/>
      <c r="AS74" s="12"/>
      <c r="AT74" s="12"/>
      <c r="AU74" s="12"/>
      <c r="AV74" s="12"/>
      <c r="AW74" s="12"/>
      <c r="AX74" s="12"/>
      <c r="AY74" s="12"/>
      <c r="AZ74" s="12"/>
      <c r="BA74" s="12"/>
      <c r="BB74" s="12"/>
      <c r="BC74" s="12"/>
      <c r="BD74" s="12"/>
      <c r="BE74" s="12"/>
      <c r="BF74" s="12"/>
      <c r="BG74" s="12"/>
      <c r="BH74" s="13">
        <f t="shared" si="1"/>
        <v>18</v>
      </c>
      <c r="BI74" s="14">
        <f>BH74*4112.4</f>
        <v>74023.199999999997</v>
      </c>
    </row>
    <row r="75" spans="1:61" ht="76.5" x14ac:dyDescent="0.25">
      <c r="A75" s="10">
        <v>70</v>
      </c>
      <c r="B75" s="11" t="s">
        <v>272</v>
      </c>
      <c r="C75" s="10" t="s">
        <v>272</v>
      </c>
      <c r="D75" s="11" t="s">
        <v>273</v>
      </c>
      <c r="E75" s="10" t="s">
        <v>274</v>
      </c>
      <c r="F75" s="10" t="s">
        <v>67</v>
      </c>
      <c r="G75" s="12"/>
      <c r="H75" s="12"/>
      <c r="I75" s="12"/>
      <c r="J75" s="12"/>
      <c r="K75" s="12"/>
      <c r="L75" s="12"/>
      <c r="M75" s="12"/>
      <c r="N75" s="12"/>
      <c r="O75" s="12"/>
      <c r="P75" s="12"/>
      <c r="Q75" s="12"/>
      <c r="R75" s="12"/>
      <c r="S75" s="12"/>
      <c r="T75" s="12"/>
      <c r="U75" s="12"/>
      <c r="V75" s="12"/>
      <c r="W75" s="12"/>
      <c r="X75" s="12"/>
      <c r="Y75" s="13">
        <v>1</v>
      </c>
      <c r="Z75" s="12"/>
      <c r="AA75" s="12"/>
      <c r="AB75" s="12"/>
      <c r="AC75" s="12"/>
      <c r="AD75" s="12"/>
      <c r="AE75" s="12"/>
      <c r="AF75" s="12"/>
      <c r="AG75" s="12"/>
      <c r="AH75" s="13">
        <v>13</v>
      </c>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3">
        <f t="shared" si="1"/>
        <v>14</v>
      </c>
      <c r="BI75" s="14">
        <f>BH75*2045.16</f>
        <v>28632.240000000002</v>
      </c>
    </row>
    <row r="76" spans="1:61" ht="63.75" x14ac:dyDescent="0.25">
      <c r="A76" s="10">
        <v>71</v>
      </c>
      <c r="B76" s="11" t="s">
        <v>275</v>
      </c>
      <c r="C76" s="10" t="s">
        <v>275</v>
      </c>
      <c r="D76" s="11" t="s">
        <v>276</v>
      </c>
      <c r="E76" s="10" t="s">
        <v>277</v>
      </c>
      <c r="F76" s="10" t="s">
        <v>67</v>
      </c>
      <c r="G76" s="12"/>
      <c r="H76" s="12"/>
      <c r="I76" s="12"/>
      <c r="J76" s="12"/>
      <c r="K76" s="12"/>
      <c r="L76" s="12"/>
      <c r="M76" s="12"/>
      <c r="N76" s="12"/>
      <c r="O76" s="12"/>
      <c r="P76" s="12"/>
      <c r="Q76" s="12"/>
      <c r="R76" s="12"/>
      <c r="S76" s="12"/>
      <c r="T76" s="12"/>
      <c r="U76" s="12"/>
      <c r="V76" s="12"/>
      <c r="W76" s="12"/>
      <c r="X76" s="12"/>
      <c r="Y76" s="13">
        <v>2</v>
      </c>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3">
        <f t="shared" si="1"/>
        <v>2</v>
      </c>
      <c r="BI76" s="14">
        <f>BH76*1881.6</f>
        <v>3763.2</v>
      </c>
    </row>
    <row r="77" spans="1:61" ht="76.5" x14ac:dyDescent="0.25">
      <c r="A77" s="10">
        <v>72</v>
      </c>
      <c r="B77" s="11" t="s">
        <v>278</v>
      </c>
      <c r="C77" s="10" t="s">
        <v>278</v>
      </c>
      <c r="D77" s="11" t="s">
        <v>279</v>
      </c>
      <c r="E77" s="10" t="s">
        <v>280</v>
      </c>
      <c r="F77" s="10" t="s">
        <v>67</v>
      </c>
      <c r="G77" s="12"/>
      <c r="H77" s="12"/>
      <c r="I77" s="12"/>
      <c r="J77" s="12"/>
      <c r="K77" s="12"/>
      <c r="L77" s="12"/>
      <c r="M77" s="12"/>
      <c r="N77" s="12"/>
      <c r="O77" s="12"/>
      <c r="P77" s="12"/>
      <c r="Q77" s="12"/>
      <c r="R77" s="12"/>
      <c r="S77" s="12"/>
      <c r="T77" s="12"/>
      <c r="U77" s="12"/>
      <c r="V77" s="12"/>
      <c r="W77" s="12"/>
      <c r="X77" s="12"/>
      <c r="Y77" s="13">
        <v>2</v>
      </c>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3">
        <f t="shared" si="1"/>
        <v>2</v>
      </c>
      <c r="BI77" s="14">
        <f>BH77*2886</f>
        <v>5772</v>
      </c>
    </row>
    <row r="78" spans="1:61" ht="76.5" x14ac:dyDescent="0.25">
      <c r="A78" s="10">
        <v>73</v>
      </c>
      <c r="B78" s="11" t="s">
        <v>281</v>
      </c>
      <c r="C78" s="10" t="s">
        <v>281</v>
      </c>
      <c r="D78" s="11" t="s">
        <v>282</v>
      </c>
      <c r="E78" s="10" t="s">
        <v>283</v>
      </c>
      <c r="F78" s="10" t="s">
        <v>67</v>
      </c>
      <c r="G78" s="12"/>
      <c r="H78" s="12"/>
      <c r="I78" s="12"/>
      <c r="J78" s="12"/>
      <c r="K78" s="12"/>
      <c r="L78" s="12"/>
      <c r="M78" s="12"/>
      <c r="N78" s="12"/>
      <c r="O78" s="12"/>
      <c r="P78" s="12"/>
      <c r="Q78" s="12"/>
      <c r="R78" s="12"/>
      <c r="S78" s="12"/>
      <c r="T78" s="12"/>
      <c r="U78" s="12"/>
      <c r="V78" s="12"/>
      <c r="W78" s="12"/>
      <c r="X78" s="12"/>
      <c r="Y78" s="13">
        <v>1</v>
      </c>
      <c r="Z78" s="12"/>
      <c r="AA78" s="12"/>
      <c r="AB78" s="12"/>
      <c r="AC78" s="12"/>
      <c r="AD78" s="12"/>
      <c r="AE78" s="12"/>
      <c r="AF78" s="12"/>
      <c r="AG78" s="12"/>
      <c r="AH78" s="13">
        <v>14</v>
      </c>
      <c r="AI78" s="12"/>
      <c r="AJ78" s="12"/>
      <c r="AK78" s="12"/>
      <c r="AL78" s="12"/>
      <c r="AM78" s="12"/>
      <c r="AN78" s="12"/>
      <c r="AO78" s="12"/>
      <c r="AP78" s="12"/>
      <c r="AQ78" s="12"/>
      <c r="AR78" s="12"/>
      <c r="AS78" s="12"/>
      <c r="AT78" s="12"/>
      <c r="AU78" s="12"/>
      <c r="AV78" s="12"/>
      <c r="AW78" s="12"/>
      <c r="AX78" s="12"/>
      <c r="AY78" s="12"/>
      <c r="AZ78" s="12"/>
      <c r="BA78" s="12"/>
      <c r="BB78" s="12"/>
      <c r="BC78" s="13">
        <v>2</v>
      </c>
      <c r="BD78" s="12"/>
      <c r="BE78" s="12"/>
      <c r="BF78" s="12"/>
      <c r="BG78" s="12"/>
      <c r="BH78" s="13">
        <f t="shared" si="1"/>
        <v>17</v>
      </c>
      <c r="BI78" s="14">
        <f>BH78*1309.2</f>
        <v>22256.400000000001</v>
      </c>
    </row>
    <row r="79" spans="1:61" ht="178.5" x14ac:dyDescent="0.25">
      <c r="A79" s="10">
        <v>74</v>
      </c>
      <c r="B79" s="11" t="s">
        <v>284</v>
      </c>
      <c r="C79" s="10" t="s">
        <v>284</v>
      </c>
      <c r="D79" s="11" t="s">
        <v>285</v>
      </c>
      <c r="E79" s="16" t="s">
        <v>286</v>
      </c>
      <c r="F79" s="10" t="s">
        <v>67</v>
      </c>
      <c r="G79" s="13">
        <v>2</v>
      </c>
      <c r="H79" s="12"/>
      <c r="I79" s="12"/>
      <c r="J79" s="12"/>
      <c r="K79" s="13">
        <v>6</v>
      </c>
      <c r="L79" s="12"/>
      <c r="M79" s="12"/>
      <c r="N79" s="12"/>
      <c r="O79" s="13">
        <v>2</v>
      </c>
      <c r="P79" s="12"/>
      <c r="Q79" s="12"/>
      <c r="R79" s="12"/>
      <c r="S79" s="12"/>
      <c r="T79" s="12"/>
      <c r="U79" s="12"/>
      <c r="V79" s="12"/>
      <c r="W79" s="12"/>
      <c r="X79" s="12"/>
      <c r="Y79" s="13">
        <v>5</v>
      </c>
      <c r="Z79" s="12"/>
      <c r="AA79" s="12"/>
      <c r="AB79" s="12"/>
      <c r="AC79" s="13">
        <v>19</v>
      </c>
      <c r="AD79" s="12"/>
      <c r="AE79" s="12"/>
      <c r="AF79" s="13">
        <v>13</v>
      </c>
      <c r="AG79" s="13">
        <v>5</v>
      </c>
      <c r="AH79" s="13">
        <v>97</v>
      </c>
      <c r="AI79" s="12"/>
      <c r="AJ79" s="12"/>
      <c r="AK79" s="12"/>
      <c r="AL79" s="13">
        <v>2</v>
      </c>
      <c r="AM79" s="12"/>
      <c r="AN79" s="12"/>
      <c r="AO79" s="13">
        <v>10</v>
      </c>
      <c r="AP79" s="12"/>
      <c r="AQ79" s="13">
        <v>2</v>
      </c>
      <c r="AR79" s="13">
        <v>12</v>
      </c>
      <c r="AS79" s="12"/>
      <c r="AT79" s="12"/>
      <c r="AU79" s="12"/>
      <c r="AV79" s="12"/>
      <c r="AW79" s="13">
        <v>3</v>
      </c>
      <c r="AX79" s="13">
        <v>1</v>
      </c>
      <c r="AY79" s="12"/>
      <c r="AZ79" s="12"/>
      <c r="BA79" s="13">
        <v>5</v>
      </c>
      <c r="BB79" s="13">
        <v>2</v>
      </c>
      <c r="BC79" s="13">
        <v>5</v>
      </c>
      <c r="BD79" s="12"/>
      <c r="BE79" s="12"/>
      <c r="BF79" s="13">
        <v>4</v>
      </c>
      <c r="BG79" s="13"/>
      <c r="BH79" s="13">
        <f t="shared" si="1"/>
        <v>195</v>
      </c>
      <c r="BI79" s="14">
        <f>BH79*1755</f>
        <v>342225</v>
      </c>
    </row>
    <row r="80" spans="1:61" ht="76.5" x14ac:dyDescent="0.25">
      <c r="A80" s="10">
        <v>75</v>
      </c>
      <c r="B80" s="11" t="s">
        <v>287</v>
      </c>
      <c r="C80" s="10" t="s">
        <v>287</v>
      </c>
      <c r="D80" s="11" t="s">
        <v>288</v>
      </c>
      <c r="E80" s="10" t="s">
        <v>289</v>
      </c>
      <c r="F80" s="10" t="s">
        <v>67</v>
      </c>
      <c r="G80" s="13">
        <v>6</v>
      </c>
      <c r="H80" s="12"/>
      <c r="I80" s="12"/>
      <c r="J80" s="12"/>
      <c r="K80" s="13">
        <v>6</v>
      </c>
      <c r="L80" s="12"/>
      <c r="M80" s="12"/>
      <c r="N80" s="12"/>
      <c r="O80" s="12"/>
      <c r="P80" s="12"/>
      <c r="Q80" s="12"/>
      <c r="R80" s="12"/>
      <c r="S80" s="12"/>
      <c r="T80" s="12"/>
      <c r="U80" s="12"/>
      <c r="V80" s="12"/>
      <c r="W80" s="12"/>
      <c r="X80" s="12"/>
      <c r="Y80" s="13">
        <v>2</v>
      </c>
      <c r="Z80" s="12"/>
      <c r="AA80" s="12"/>
      <c r="AB80" s="12"/>
      <c r="AC80" s="12"/>
      <c r="AD80" s="13">
        <v>1</v>
      </c>
      <c r="AE80" s="12"/>
      <c r="AF80" s="12"/>
      <c r="AG80" s="12"/>
      <c r="AH80" s="13">
        <v>15</v>
      </c>
      <c r="AI80" s="12"/>
      <c r="AJ80" s="12"/>
      <c r="AK80" s="12"/>
      <c r="AL80" s="13">
        <v>4</v>
      </c>
      <c r="AM80" s="12"/>
      <c r="AN80" s="12"/>
      <c r="AO80" s="12"/>
      <c r="AP80" s="12"/>
      <c r="AQ80" s="12"/>
      <c r="AR80" s="13">
        <v>6</v>
      </c>
      <c r="AS80" s="12"/>
      <c r="AT80" s="12"/>
      <c r="AU80" s="12"/>
      <c r="AV80" s="12"/>
      <c r="AW80" s="12"/>
      <c r="AX80" s="12"/>
      <c r="AY80" s="12"/>
      <c r="AZ80" s="12"/>
      <c r="BA80" s="13">
        <v>2</v>
      </c>
      <c r="BB80" s="13">
        <v>2</v>
      </c>
      <c r="BC80" s="12"/>
      <c r="BD80" s="13">
        <v>1</v>
      </c>
      <c r="BE80" s="12"/>
      <c r="BF80" s="12"/>
      <c r="BG80" s="12"/>
      <c r="BH80" s="13">
        <f t="shared" si="1"/>
        <v>45</v>
      </c>
      <c r="BI80" s="14">
        <f>BH80*750</f>
        <v>33750</v>
      </c>
    </row>
    <row r="81" spans="1:61" ht="76.5" x14ac:dyDescent="0.25">
      <c r="A81" s="10">
        <v>76</v>
      </c>
      <c r="B81" s="11" t="s">
        <v>290</v>
      </c>
      <c r="C81" s="10" t="s">
        <v>290</v>
      </c>
      <c r="D81" s="11" t="s">
        <v>291</v>
      </c>
      <c r="E81" s="10" t="s">
        <v>292</v>
      </c>
      <c r="F81" s="10" t="s">
        <v>67</v>
      </c>
      <c r="G81" s="12"/>
      <c r="H81" s="12"/>
      <c r="I81" s="12"/>
      <c r="J81" s="12"/>
      <c r="K81" s="12"/>
      <c r="L81" s="12"/>
      <c r="M81" s="12"/>
      <c r="N81" s="12"/>
      <c r="O81" s="12"/>
      <c r="P81" s="12"/>
      <c r="Q81" s="12"/>
      <c r="R81" s="12"/>
      <c r="S81" s="12"/>
      <c r="T81" s="12"/>
      <c r="U81" s="12"/>
      <c r="V81" s="12"/>
      <c r="W81" s="12"/>
      <c r="X81" s="13">
        <v>6</v>
      </c>
      <c r="Y81" s="13">
        <v>1</v>
      </c>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3">
        <v>1</v>
      </c>
      <c r="BC81" s="12"/>
      <c r="BD81" s="12"/>
      <c r="BE81" s="12"/>
      <c r="BF81" s="12"/>
      <c r="BG81" s="12"/>
      <c r="BH81" s="13">
        <f t="shared" si="1"/>
        <v>8</v>
      </c>
      <c r="BI81" s="14">
        <f>BH81*2000.00375</f>
        <v>16000.03</v>
      </c>
    </row>
    <row r="82" spans="1:61" ht="51" x14ac:dyDescent="0.25">
      <c r="A82" s="10">
        <v>77</v>
      </c>
      <c r="B82" s="11" t="s">
        <v>293</v>
      </c>
      <c r="C82" s="10" t="s">
        <v>293</v>
      </c>
      <c r="D82" s="11" t="s">
        <v>294</v>
      </c>
      <c r="E82" s="10" t="s">
        <v>295</v>
      </c>
      <c r="F82" s="10" t="s">
        <v>67</v>
      </c>
      <c r="G82" s="12"/>
      <c r="H82" s="12"/>
      <c r="I82" s="12"/>
      <c r="J82" s="12"/>
      <c r="K82" s="12"/>
      <c r="L82" s="12"/>
      <c r="M82" s="12"/>
      <c r="N82" s="12"/>
      <c r="O82" s="12"/>
      <c r="P82" s="12"/>
      <c r="Q82" s="12"/>
      <c r="R82" s="12"/>
      <c r="S82" s="12"/>
      <c r="T82" s="12"/>
      <c r="U82" s="13">
        <v>4</v>
      </c>
      <c r="V82" s="12"/>
      <c r="W82" s="12"/>
      <c r="X82" s="13">
        <v>100</v>
      </c>
      <c r="Y82" s="13">
        <v>2</v>
      </c>
      <c r="Z82" s="13">
        <v>20</v>
      </c>
      <c r="AA82" s="12"/>
      <c r="AB82" s="12"/>
      <c r="AC82" s="12"/>
      <c r="AD82" s="13">
        <v>10</v>
      </c>
      <c r="AE82" s="12"/>
      <c r="AF82" s="12"/>
      <c r="AG82" s="12"/>
      <c r="AH82" s="12"/>
      <c r="AI82" s="12"/>
      <c r="AJ82" s="12"/>
      <c r="AK82" s="12"/>
      <c r="AL82" s="13">
        <v>15</v>
      </c>
      <c r="AM82" s="12"/>
      <c r="AN82" s="12"/>
      <c r="AO82" s="12"/>
      <c r="AP82" s="12"/>
      <c r="AQ82" s="12"/>
      <c r="AR82" s="13">
        <v>16</v>
      </c>
      <c r="AS82" s="13">
        <v>6</v>
      </c>
      <c r="AT82" s="12"/>
      <c r="AU82" s="12"/>
      <c r="AV82" s="12"/>
      <c r="AW82" s="13">
        <v>5</v>
      </c>
      <c r="AX82" s="13">
        <v>4</v>
      </c>
      <c r="AY82" s="12"/>
      <c r="AZ82" s="12"/>
      <c r="BA82" s="12"/>
      <c r="BB82" s="13">
        <v>5</v>
      </c>
      <c r="BC82" s="13">
        <v>15</v>
      </c>
      <c r="BD82" s="12"/>
      <c r="BE82" s="12"/>
      <c r="BF82" s="12"/>
      <c r="BG82" s="12"/>
      <c r="BH82" s="13">
        <f t="shared" si="1"/>
        <v>202</v>
      </c>
      <c r="BI82" s="14">
        <f>BH82*142.00801980198</f>
        <v>28685.619999999959</v>
      </c>
    </row>
    <row r="83" spans="1:61" ht="51" x14ac:dyDescent="0.25">
      <c r="A83" s="10">
        <v>78</v>
      </c>
      <c r="B83" s="11" t="s">
        <v>296</v>
      </c>
      <c r="C83" s="10" t="s">
        <v>296</v>
      </c>
      <c r="D83" s="11" t="s">
        <v>297</v>
      </c>
      <c r="E83" s="10" t="s">
        <v>298</v>
      </c>
      <c r="F83" s="10" t="s">
        <v>67</v>
      </c>
      <c r="G83" s="12"/>
      <c r="H83" s="12"/>
      <c r="I83" s="12"/>
      <c r="J83" s="12"/>
      <c r="K83" s="12"/>
      <c r="L83" s="12"/>
      <c r="M83" s="12"/>
      <c r="N83" s="12"/>
      <c r="O83" s="12"/>
      <c r="P83" s="12"/>
      <c r="Q83" s="12"/>
      <c r="R83" s="12"/>
      <c r="S83" s="12"/>
      <c r="T83" s="12"/>
      <c r="U83" s="12"/>
      <c r="V83" s="12"/>
      <c r="W83" s="13">
        <v>2</v>
      </c>
      <c r="X83" s="12"/>
      <c r="Y83" s="13">
        <v>2</v>
      </c>
      <c r="Z83" s="12"/>
      <c r="AA83" s="12"/>
      <c r="AB83" s="12"/>
      <c r="AC83" s="12"/>
      <c r="AD83" s="12"/>
      <c r="AE83" s="13">
        <v>50</v>
      </c>
      <c r="AF83" s="12"/>
      <c r="AG83" s="12"/>
      <c r="AH83" s="13">
        <v>6</v>
      </c>
      <c r="AI83" s="12"/>
      <c r="AJ83" s="12"/>
      <c r="AK83" s="12"/>
      <c r="AL83" s="12"/>
      <c r="AM83" s="12"/>
      <c r="AN83" s="12"/>
      <c r="AO83" s="12"/>
      <c r="AP83" s="12"/>
      <c r="AQ83" s="12"/>
      <c r="AR83" s="13">
        <v>6</v>
      </c>
      <c r="AS83" s="12"/>
      <c r="AT83" s="12"/>
      <c r="AU83" s="12"/>
      <c r="AV83" s="12"/>
      <c r="AW83" s="13">
        <v>2</v>
      </c>
      <c r="AX83" s="12"/>
      <c r="AY83" s="12"/>
      <c r="AZ83" s="12"/>
      <c r="BA83" s="12"/>
      <c r="BB83" s="12"/>
      <c r="BC83" s="12"/>
      <c r="BD83" s="12"/>
      <c r="BE83" s="12"/>
      <c r="BF83" s="12"/>
      <c r="BG83" s="12"/>
      <c r="BH83" s="13">
        <f t="shared" si="1"/>
        <v>68</v>
      </c>
      <c r="BI83" s="14">
        <f>BH83*193.727941176471</f>
        <v>13173.500000000029</v>
      </c>
    </row>
    <row r="84" spans="1:61" ht="51" x14ac:dyDescent="0.25">
      <c r="A84" s="10">
        <v>79</v>
      </c>
      <c r="B84" s="11" t="s">
        <v>299</v>
      </c>
      <c r="C84" s="10" t="s">
        <v>299</v>
      </c>
      <c r="D84" s="11" t="s">
        <v>300</v>
      </c>
      <c r="E84" s="10" t="s">
        <v>301</v>
      </c>
      <c r="F84" s="10" t="s">
        <v>67</v>
      </c>
      <c r="G84" s="12"/>
      <c r="H84" s="12"/>
      <c r="I84" s="12"/>
      <c r="J84" s="12"/>
      <c r="K84" s="12"/>
      <c r="L84" s="12"/>
      <c r="M84" s="12"/>
      <c r="N84" s="12"/>
      <c r="O84" s="12"/>
      <c r="P84" s="12"/>
      <c r="Q84" s="12"/>
      <c r="R84" s="12"/>
      <c r="S84" s="12"/>
      <c r="T84" s="12"/>
      <c r="U84" s="12"/>
      <c r="V84" s="12"/>
      <c r="W84" s="12"/>
      <c r="X84" s="12"/>
      <c r="Y84" s="13">
        <v>2</v>
      </c>
      <c r="Z84" s="12"/>
      <c r="AA84" s="12"/>
      <c r="AB84" s="12"/>
      <c r="AC84" s="13">
        <v>10</v>
      </c>
      <c r="AD84" s="12"/>
      <c r="AE84" s="12"/>
      <c r="AF84" s="12"/>
      <c r="AG84" s="12"/>
      <c r="AH84" s="12"/>
      <c r="AI84" s="12"/>
      <c r="AJ84" s="12"/>
      <c r="AK84" s="12"/>
      <c r="AL84" s="12"/>
      <c r="AM84" s="12"/>
      <c r="AN84" s="12"/>
      <c r="AO84" s="12"/>
      <c r="AP84" s="12"/>
      <c r="AQ84" s="12"/>
      <c r="AR84" s="12"/>
      <c r="AS84" s="12"/>
      <c r="AT84" s="12"/>
      <c r="AU84" s="12"/>
      <c r="AV84" s="12"/>
      <c r="AW84" s="12"/>
      <c r="AX84" s="13">
        <v>2</v>
      </c>
      <c r="AY84" s="12"/>
      <c r="AZ84" s="12"/>
      <c r="BA84" s="12"/>
      <c r="BB84" s="13">
        <v>2</v>
      </c>
      <c r="BC84" s="12"/>
      <c r="BD84" s="12"/>
      <c r="BE84" s="12"/>
      <c r="BF84" s="13">
        <v>4</v>
      </c>
      <c r="BG84" s="13"/>
      <c r="BH84" s="13">
        <f t="shared" si="1"/>
        <v>20</v>
      </c>
      <c r="BI84" s="14">
        <f>BH84*350.016</f>
        <v>7000.3200000000006</v>
      </c>
    </row>
    <row r="85" spans="1:61" ht="51" x14ac:dyDescent="0.25">
      <c r="A85" s="10">
        <v>80</v>
      </c>
      <c r="B85" s="11" t="s">
        <v>302</v>
      </c>
      <c r="C85" s="10" t="s">
        <v>302</v>
      </c>
      <c r="D85" s="11" t="s">
        <v>303</v>
      </c>
      <c r="E85" s="10" t="s">
        <v>304</v>
      </c>
      <c r="F85" s="10" t="s">
        <v>67</v>
      </c>
      <c r="G85" s="12"/>
      <c r="H85" s="12"/>
      <c r="I85" s="13">
        <v>15</v>
      </c>
      <c r="J85" s="12"/>
      <c r="K85" s="12"/>
      <c r="L85" s="12"/>
      <c r="M85" s="12"/>
      <c r="N85" s="12"/>
      <c r="O85" s="12"/>
      <c r="P85" s="12"/>
      <c r="Q85" s="12"/>
      <c r="R85" s="12"/>
      <c r="S85" s="12"/>
      <c r="T85" s="12"/>
      <c r="U85" s="12"/>
      <c r="V85" s="12"/>
      <c r="W85" s="12"/>
      <c r="X85" s="12"/>
      <c r="Y85" s="13">
        <v>2</v>
      </c>
      <c r="Z85" s="12"/>
      <c r="AA85" s="12"/>
      <c r="AB85" s="12"/>
      <c r="AC85" s="12"/>
      <c r="AD85" s="12"/>
      <c r="AE85" s="12"/>
      <c r="AF85" s="12"/>
      <c r="AG85" s="12"/>
      <c r="AH85" s="13">
        <v>6</v>
      </c>
      <c r="AI85" s="12"/>
      <c r="AJ85" s="12"/>
      <c r="AK85" s="12"/>
      <c r="AL85" s="13">
        <v>6</v>
      </c>
      <c r="AM85" s="12"/>
      <c r="AN85" s="12"/>
      <c r="AO85" s="12"/>
      <c r="AP85" s="12"/>
      <c r="AQ85" s="12"/>
      <c r="AR85" s="12"/>
      <c r="AS85" s="12"/>
      <c r="AT85" s="12"/>
      <c r="AU85" s="12"/>
      <c r="AV85" s="12"/>
      <c r="AW85" s="12"/>
      <c r="AX85" s="12"/>
      <c r="AY85" s="12"/>
      <c r="AZ85" s="12"/>
      <c r="BA85" s="12"/>
      <c r="BB85" s="12"/>
      <c r="BC85" s="12"/>
      <c r="BD85" s="12"/>
      <c r="BE85" s="12"/>
      <c r="BF85" s="12"/>
      <c r="BG85" s="12"/>
      <c r="BH85" s="13">
        <f t="shared" si="1"/>
        <v>29</v>
      </c>
      <c r="BI85" s="14">
        <f>BH85*193.727931034483</f>
        <v>5618.1100000000069</v>
      </c>
    </row>
    <row r="86" spans="1:61" ht="51" x14ac:dyDescent="0.25">
      <c r="A86" s="10">
        <v>81</v>
      </c>
      <c r="B86" s="11" t="s">
        <v>305</v>
      </c>
      <c r="C86" s="10" t="s">
        <v>305</v>
      </c>
      <c r="D86" s="11" t="s">
        <v>306</v>
      </c>
      <c r="E86" s="10" t="s">
        <v>307</v>
      </c>
      <c r="F86" s="10" t="s">
        <v>67</v>
      </c>
      <c r="G86" s="12"/>
      <c r="H86" s="12"/>
      <c r="I86" s="13">
        <v>15</v>
      </c>
      <c r="J86" s="12"/>
      <c r="K86" s="12"/>
      <c r="L86" s="12"/>
      <c r="M86" s="12"/>
      <c r="N86" s="12"/>
      <c r="O86" s="12"/>
      <c r="P86" s="12"/>
      <c r="Q86" s="12"/>
      <c r="R86" s="12"/>
      <c r="S86" s="12"/>
      <c r="T86" s="12"/>
      <c r="U86" s="12"/>
      <c r="V86" s="12"/>
      <c r="W86" s="12"/>
      <c r="X86" s="12"/>
      <c r="Y86" s="12"/>
      <c r="Z86" s="13">
        <v>2</v>
      </c>
      <c r="AA86" s="12"/>
      <c r="AB86" s="12"/>
      <c r="AC86" s="12"/>
      <c r="AD86" s="12"/>
      <c r="AE86" s="13">
        <v>30</v>
      </c>
      <c r="AF86" s="12"/>
      <c r="AG86" s="13">
        <v>24</v>
      </c>
      <c r="AH86" s="12"/>
      <c r="AI86" s="12"/>
      <c r="AJ86" s="12"/>
      <c r="AK86" s="12"/>
      <c r="AL86" s="13">
        <v>8</v>
      </c>
      <c r="AM86" s="12"/>
      <c r="AN86" s="12"/>
      <c r="AO86" s="12"/>
      <c r="AP86" s="12"/>
      <c r="AQ86" s="12"/>
      <c r="AR86" s="12"/>
      <c r="AS86" s="12"/>
      <c r="AT86" s="12"/>
      <c r="AU86" s="12"/>
      <c r="AV86" s="12"/>
      <c r="AW86" s="12"/>
      <c r="AX86" s="13">
        <v>5</v>
      </c>
      <c r="AY86" s="12"/>
      <c r="AZ86" s="12"/>
      <c r="BA86" s="12"/>
      <c r="BB86" s="12"/>
      <c r="BC86" s="12"/>
      <c r="BD86" s="12"/>
      <c r="BE86" s="12"/>
      <c r="BF86" s="12"/>
      <c r="BG86" s="12"/>
      <c r="BH86" s="13">
        <f t="shared" si="1"/>
        <v>84</v>
      </c>
      <c r="BI86" s="14">
        <f>BH86*193.727976190476</f>
        <v>16273.149999999983</v>
      </c>
    </row>
    <row r="87" spans="1:61" ht="51" x14ac:dyDescent="0.25">
      <c r="A87" s="10">
        <v>82</v>
      </c>
      <c r="B87" s="11" t="s">
        <v>308</v>
      </c>
      <c r="C87" s="10" t="s">
        <v>308</v>
      </c>
      <c r="D87" s="11" t="s">
        <v>309</v>
      </c>
      <c r="E87" s="10" t="s">
        <v>310</v>
      </c>
      <c r="F87" s="10" t="s">
        <v>67</v>
      </c>
      <c r="G87" s="12"/>
      <c r="H87" s="12"/>
      <c r="I87" s="12"/>
      <c r="J87" s="12"/>
      <c r="K87" s="12"/>
      <c r="L87" s="12"/>
      <c r="M87" s="12"/>
      <c r="N87" s="12"/>
      <c r="O87" s="13">
        <v>10</v>
      </c>
      <c r="P87" s="12"/>
      <c r="Q87" s="12"/>
      <c r="R87" s="12"/>
      <c r="S87" s="12"/>
      <c r="T87" s="12"/>
      <c r="U87" s="12"/>
      <c r="V87" s="12"/>
      <c r="W87" s="12"/>
      <c r="X87" s="12"/>
      <c r="Y87" s="12"/>
      <c r="Z87" s="12"/>
      <c r="AA87" s="12"/>
      <c r="AB87" s="12"/>
      <c r="AC87" s="13">
        <v>10</v>
      </c>
      <c r="AD87" s="12"/>
      <c r="AE87" s="13">
        <v>3</v>
      </c>
      <c r="AF87" s="12"/>
      <c r="AG87" s="12"/>
      <c r="AH87" s="12"/>
      <c r="AI87" s="12"/>
      <c r="AJ87" s="12"/>
      <c r="AK87" s="12"/>
      <c r="AL87" s="13">
        <v>1</v>
      </c>
      <c r="AM87" s="12"/>
      <c r="AN87" s="12"/>
      <c r="AO87" s="12"/>
      <c r="AP87" s="12"/>
      <c r="AQ87" s="13">
        <v>10</v>
      </c>
      <c r="AR87" s="12"/>
      <c r="AS87" s="13">
        <v>4</v>
      </c>
      <c r="AT87" s="12"/>
      <c r="AU87" s="12"/>
      <c r="AV87" s="12"/>
      <c r="AW87" s="12"/>
      <c r="AX87" s="13">
        <v>5</v>
      </c>
      <c r="AY87" s="12"/>
      <c r="AZ87" s="12"/>
      <c r="BA87" s="12"/>
      <c r="BB87" s="12"/>
      <c r="BC87" s="12"/>
      <c r="BD87" s="12"/>
      <c r="BE87" s="12"/>
      <c r="BF87" s="12"/>
      <c r="BG87" s="12"/>
      <c r="BH87" s="13">
        <f t="shared" si="1"/>
        <v>43</v>
      </c>
      <c r="BI87" s="14">
        <f>BH87*193.727906976744</f>
        <v>8330.299999999992</v>
      </c>
    </row>
    <row r="88" spans="1:61" ht="51" x14ac:dyDescent="0.25">
      <c r="A88" s="10">
        <v>83</v>
      </c>
      <c r="B88" s="11" t="s">
        <v>311</v>
      </c>
      <c r="C88" s="10" t="s">
        <v>311</v>
      </c>
      <c r="D88" s="11" t="s">
        <v>312</v>
      </c>
      <c r="E88" s="10" t="s">
        <v>313</v>
      </c>
      <c r="F88" s="10" t="s">
        <v>67</v>
      </c>
      <c r="G88" s="12"/>
      <c r="H88" s="12"/>
      <c r="I88" s="12"/>
      <c r="J88" s="12"/>
      <c r="K88" s="12"/>
      <c r="L88" s="12"/>
      <c r="M88" s="12"/>
      <c r="N88" s="12"/>
      <c r="O88" s="12"/>
      <c r="P88" s="12"/>
      <c r="Q88" s="12"/>
      <c r="R88" s="12"/>
      <c r="S88" s="12"/>
      <c r="T88" s="12"/>
      <c r="U88" s="12"/>
      <c r="V88" s="12"/>
      <c r="W88" s="12"/>
      <c r="X88" s="12"/>
      <c r="Y88" s="12"/>
      <c r="Z88" s="12"/>
      <c r="AA88" s="12"/>
      <c r="AB88" s="12"/>
      <c r="AC88" s="13">
        <v>10</v>
      </c>
      <c r="AD88" s="12"/>
      <c r="AE88" s="13">
        <v>2</v>
      </c>
      <c r="AF88" s="12"/>
      <c r="AG88" s="12"/>
      <c r="AH88" s="12"/>
      <c r="AI88" s="12"/>
      <c r="AJ88" s="12"/>
      <c r="AK88" s="12"/>
      <c r="AL88" s="13">
        <v>2</v>
      </c>
      <c r="AM88" s="12"/>
      <c r="AN88" s="12"/>
      <c r="AO88" s="12"/>
      <c r="AP88" s="12"/>
      <c r="AQ88" s="12"/>
      <c r="AR88" s="12"/>
      <c r="AS88" s="12"/>
      <c r="AT88" s="12"/>
      <c r="AU88" s="12"/>
      <c r="AV88" s="12"/>
      <c r="AW88" s="13">
        <v>2</v>
      </c>
      <c r="AX88" s="13">
        <v>5</v>
      </c>
      <c r="AY88" s="12"/>
      <c r="AZ88" s="12"/>
      <c r="BA88" s="12"/>
      <c r="BB88" s="13">
        <v>4</v>
      </c>
      <c r="BC88" s="12"/>
      <c r="BD88" s="13">
        <v>4</v>
      </c>
      <c r="BE88" s="12"/>
      <c r="BF88" s="12"/>
      <c r="BG88" s="12"/>
      <c r="BH88" s="13">
        <f t="shared" si="1"/>
        <v>29</v>
      </c>
      <c r="BI88" s="14">
        <f>BH88*193.727931034483</f>
        <v>5618.1100000000069</v>
      </c>
    </row>
    <row r="89" spans="1:61" ht="51" x14ac:dyDescent="0.25">
      <c r="A89" s="10">
        <v>84</v>
      </c>
      <c r="B89" s="11" t="s">
        <v>314</v>
      </c>
      <c r="C89" s="10" t="s">
        <v>314</v>
      </c>
      <c r="D89" s="11" t="s">
        <v>315</v>
      </c>
      <c r="E89" s="10" t="s">
        <v>316</v>
      </c>
      <c r="F89" s="10" t="s">
        <v>67</v>
      </c>
      <c r="G89" s="12"/>
      <c r="H89" s="12"/>
      <c r="I89" s="12"/>
      <c r="J89" s="12"/>
      <c r="K89" s="12"/>
      <c r="L89" s="12"/>
      <c r="M89" s="12"/>
      <c r="N89" s="12"/>
      <c r="O89" s="12"/>
      <c r="P89" s="12"/>
      <c r="Q89" s="12"/>
      <c r="R89" s="12"/>
      <c r="S89" s="12"/>
      <c r="T89" s="13">
        <v>12</v>
      </c>
      <c r="U89" s="12"/>
      <c r="V89" s="12"/>
      <c r="W89" s="12"/>
      <c r="X89" s="12"/>
      <c r="Y89" s="12"/>
      <c r="Z89" s="13">
        <v>6</v>
      </c>
      <c r="AA89" s="12"/>
      <c r="AB89" s="12"/>
      <c r="AC89" s="12"/>
      <c r="AD89" s="12"/>
      <c r="AE89" s="12"/>
      <c r="AF89" s="12"/>
      <c r="AG89" s="12"/>
      <c r="AH89" s="12"/>
      <c r="AI89" s="12"/>
      <c r="AJ89" s="12"/>
      <c r="AK89" s="12"/>
      <c r="AL89" s="13">
        <v>15</v>
      </c>
      <c r="AM89" s="12"/>
      <c r="AN89" s="12"/>
      <c r="AO89" s="12"/>
      <c r="AP89" s="12"/>
      <c r="AQ89" s="12"/>
      <c r="AR89" s="12"/>
      <c r="AS89" s="12"/>
      <c r="AT89" s="12"/>
      <c r="AU89" s="12"/>
      <c r="AV89" s="12"/>
      <c r="AW89" s="12"/>
      <c r="AX89" s="12"/>
      <c r="AY89" s="12"/>
      <c r="AZ89" s="12"/>
      <c r="BA89" s="13">
        <v>5</v>
      </c>
      <c r="BB89" s="12"/>
      <c r="BC89" s="12"/>
      <c r="BD89" s="13">
        <v>2</v>
      </c>
      <c r="BE89" s="12"/>
      <c r="BF89" s="12"/>
      <c r="BG89" s="12"/>
      <c r="BH89" s="13">
        <f t="shared" si="1"/>
        <v>40</v>
      </c>
      <c r="BI89" s="14">
        <f>BH89*90</f>
        <v>3600</v>
      </c>
    </row>
    <row r="90" spans="1:61" ht="51" x14ac:dyDescent="0.25">
      <c r="A90" s="10">
        <v>85</v>
      </c>
      <c r="B90" s="11" t="s">
        <v>317</v>
      </c>
      <c r="C90" s="10" t="s">
        <v>317</v>
      </c>
      <c r="D90" s="11" t="s">
        <v>318</v>
      </c>
      <c r="E90" s="10" t="s">
        <v>319</v>
      </c>
      <c r="F90" s="10" t="s">
        <v>67</v>
      </c>
      <c r="G90" s="12"/>
      <c r="H90" s="12"/>
      <c r="I90" s="13">
        <v>2</v>
      </c>
      <c r="J90" s="12"/>
      <c r="K90" s="12"/>
      <c r="L90" s="12"/>
      <c r="M90" s="12"/>
      <c r="N90" s="12"/>
      <c r="O90" s="12"/>
      <c r="P90" s="12"/>
      <c r="Q90" s="12"/>
      <c r="R90" s="12"/>
      <c r="S90" s="13">
        <v>2</v>
      </c>
      <c r="T90" s="12"/>
      <c r="U90" s="12"/>
      <c r="V90" s="12"/>
      <c r="W90" s="12"/>
      <c r="X90" s="12"/>
      <c r="Y90" s="13">
        <v>2</v>
      </c>
      <c r="Z90" s="13">
        <v>20</v>
      </c>
      <c r="AA90" s="12"/>
      <c r="AB90" s="12"/>
      <c r="AC90" s="12"/>
      <c r="AD90" s="12"/>
      <c r="AE90" s="13">
        <v>50</v>
      </c>
      <c r="AF90" s="12"/>
      <c r="AG90" s="12"/>
      <c r="AH90" s="12"/>
      <c r="AI90" s="12"/>
      <c r="AJ90" s="12"/>
      <c r="AK90" s="12"/>
      <c r="AL90" s="12"/>
      <c r="AM90" s="12"/>
      <c r="AN90" s="12"/>
      <c r="AO90" s="12"/>
      <c r="AP90" s="12"/>
      <c r="AQ90" s="12"/>
      <c r="AR90" s="12"/>
      <c r="AS90" s="12"/>
      <c r="AT90" s="12"/>
      <c r="AU90" s="12"/>
      <c r="AV90" s="12"/>
      <c r="AW90" s="12"/>
      <c r="AX90" s="12"/>
      <c r="AY90" s="12"/>
      <c r="AZ90" s="12"/>
      <c r="BA90" s="13">
        <v>5</v>
      </c>
      <c r="BB90" s="12"/>
      <c r="BC90" s="12"/>
      <c r="BD90" s="13">
        <v>4</v>
      </c>
      <c r="BE90" s="12"/>
      <c r="BF90" s="12"/>
      <c r="BG90" s="12"/>
      <c r="BH90" s="13">
        <f t="shared" si="1"/>
        <v>85</v>
      </c>
      <c r="BI90" s="14">
        <f>BH90*90</f>
        <v>7650</v>
      </c>
    </row>
    <row r="91" spans="1:61" ht="51" x14ac:dyDescent="0.25">
      <c r="A91" s="10">
        <v>86</v>
      </c>
      <c r="B91" s="11" t="s">
        <v>320</v>
      </c>
      <c r="C91" s="10" t="s">
        <v>320</v>
      </c>
      <c r="D91" s="11" t="s">
        <v>321</v>
      </c>
      <c r="E91" s="10" t="s">
        <v>322</v>
      </c>
      <c r="F91" s="10" t="s">
        <v>67</v>
      </c>
      <c r="G91" s="12"/>
      <c r="H91" s="12"/>
      <c r="I91" s="13">
        <v>2</v>
      </c>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3">
        <v>8</v>
      </c>
      <c r="AM91" s="12"/>
      <c r="AN91" s="12"/>
      <c r="AO91" s="12"/>
      <c r="AP91" s="12"/>
      <c r="AQ91" s="12"/>
      <c r="AR91" s="12"/>
      <c r="AS91" s="12"/>
      <c r="AT91" s="12"/>
      <c r="AU91" s="12"/>
      <c r="AV91" s="12"/>
      <c r="AW91" s="12"/>
      <c r="AX91" s="13">
        <v>2</v>
      </c>
      <c r="AY91" s="12"/>
      <c r="AZ91" s="12"/>
      <c r="BA91" s="13">
        <v>5</v>
      </c>
      <c r="BB91" s="13">
        <v>14</v>
      </c>
      <c r="BC91" s="12"/>
      <c r="BD91" s="12"/>
      <c r="BE91" s="12"/>
      <c r="BF91" s="12"/>
      <c r="BG91" s="12"/>
      <c r="BH91" s="13">
        <f t="shared" si="1"/>
        <v>31</v>
      </c>
      <c r="BI91" s="14">
        <f>BH91*90</f>
        <v>2790</v>
      </c>
    </row>
    <row r="92" spans="1:61" ht="51" x14ac:dyDescent="0.25">
      <c r="A92" s="10">
        <v>87</v>
      </c>
      <c r="B92" s="11" t="s">
        <v>323</v>
      </c>
      <c r="C92" s="10" t="s">
        <v>323</v>
      </c>
      <c r="D92" s="11" t="s">
        <v>324</v>
      </c>
      <c r="E92" s="10" t="s">
        <v>325</v>
      </c>
      <c r="F92" s="10" t="s">
        <v>67</v>
      </c>
      <c r="G92" s="12"/>
      <c r="H92" s="12"/>
      <c r="I92" s="13">
        <v>2</v>
      </c>
      <c r="J92" s="12"/>
      <c r="K92" s="12"/>
      <c r="L92" s="12"/>
      <c r="M92" s="12"/>
      <c r="N92" s="12"/>
      <c r="O92" s="12"/>
      <c r="P92" s="12"/>
      <c r="Q92" s="12"/>
      <c r="R92" s="12"/>
      <c r="S92" s="12"/>
      <c r="T92" s="12"/>
      <c r="U92" s="12"/>
      <c r="V92" s="12"/>
      <c r="W92" s="12"/>
      <c r="X92" s="12"/>
      <c r="Y92" s="12"/>
      <c r="Z92" s="13">
        <v>2</v>
      </c>
      <c r="AA92" s="12"/>
      <c r="AB92" s="12"/>
      <c r="AC92" s="12"/>
      <c r="AD92" s="12"/>
      <c r="AE92" s="13">
        <v>6</v>
      </c>
      <c r="AF92" s="12"/>
      <c r="AG92" s="12"/>
      <c r="AH92" s="12"/>
      <c r="AI92" s="12"/>
      <c r="AJ92" s="13">
        <v>5</v>
      </c>
      <c r="AK92" s="12"/>
      <c r="AL92" s="13">
        <v>18</v>
      </c>
      <c r="AM92" s="13">
        <v>1</v>
      </c>
      <c r="AN92" s="13">
        <v>2</v>
      </c>
      <c r="AO92" s="12"/>
      <c r="AP92" s="12"/>
      <c r="AQ92" s="12"/>
      <c r="AR92" s="12"/>
      <c r="AS92" s="12"/>
      <c r="AT92" s="12"/>
      <c r="AU92" s="12"/>
      <c r="AV92" s="12"/>
      <c r="AW92" s="12"/>
      <c r="AX92" s="12"/>
      <c r="AY92" s="12"/>
      <c r="AZ92" s="12"/>
      <c r="BA92" s="13">
        <v>5</v>
      </c>
      <c r="BB92" s="13">
        <v>6</v>
      </c>
      <c r="BC92" s="12"/>
      <c r="BD92" s="13">
        <v>30</v>
      </c>
      <c r="BE92" s="12"/>
      <c r="BF92" s="12"/>
      <c r="BG92" s="12"/>
      <c r="BH92" s="13">
        <f t="shared" si="1"/>
        <v>77</v>
      </c>
      <c r="BI92" s="14">
        <f>BH92*90</f>
        <v>6930</v>
      </c>
    </row>
    <row r="93" spans="1:61" ht="51" x14ac:dyDescent="0.25">
      <c r="A93" s="10">
        <v>88</v>
      </c>
      <c r="B93" s="11" t="s">
        <v>326</v>
      </c>
      <c r="C93" s="10" t="s">
        <v>326</v>
      </c>
      <c r="D93" s="11" t="s">
        <v>327</v>
      </c>
      <c r="E93" s="10" t="s">
        <v>328</v>
      </c>
      <c r="F93" s="10" t="s">
        <v>67</v>
      </c>
      <c r="G93" s="12"/>
      <c r="H93" s="12"/>
      <c r="I93" s="13">
        <v>2</v>
      </c>
      <c r="J93" s="12"/>
      <c r="K93" s="12"/>
      <c r="L93" s="13">
        <v>65</v>
      </c>
      <c r="M93" s="12"/>
      <c r="N93" s="12"/>
      <c r="O93" s="13">
        <v>10</v>
      </c>
      <c r="P93" s="12"/>
      <c r="Q93" s="12"/>
      <c r="R93" s="12"/>
      <c r="S93" s="12"/>
      <c r="T93" s="12"/>
      <c r="U93" s="12"/>
      <c r="V93" s="12"/>
      <c r="W93" s="12"/>
      <c r="X93" s="13">
        <v>40</v>
      </c>
      <c r="Y93" s="13">
        <v>2</v>
      </c>
      <c r="Z93" s="13">
        <v>30</v>
      </c>
      <c r="AA93" s="12"/>
      <c r="AB93" s="12"/>
      <c r="AC93" s="12"/>
      <c r="AD93" s="12"/>
      <c r="AE93" s="12"/>
      <c r="AF93" s="12"/>
      <c r="AG93" s="13">
        <v>12</v>
      </c>
      <c r="AH93" s="12"/>
      <c r="AI93" s="12"/>
      <c r="AJ93" s="12"/>
      <c r="AK93" s="12"/>
      <c r="AL93" s="12">
        <v>10</v>
      </c>
      <c r="AM93" s="13">
        <v>2</v>
      </c>
      <c r="AN93" s="12"/>
      <c r="AO93" s="12"/>
      <c r="AP93" s="12"/>
      <c r="AQ93" s="13">
        <v>10</v>
      </c>
      <c r="AR93" s="12"/>
      <c r="AS93" s="12"/>
      <c r="AT93" s="12"/>
      <c r="AU93" s="12"/>
      <c r="AV93" s="12"/>
      <c r="AW93" s="12"/>
      <c r="AX93" s="13">
        <v>2</v>
      </c>
      <c r="AY93" s="12"/>
      <c r="AZ93" s="12"/>
      <c r="BA93" s="13">
        <v>5</v>
      </c>
      <c r="BB93" s="12"/>
      <c r="BC93" s="13">
        <v>8</v>
      </c>
      <c r="BD93" s="13">
        <v>10</v>
      </c>
      <c r="BE93" s="12"/>
      <c r="BF93" s="13">
        <v>10</v>
      </c>
      <c r="BG93" s="13"/>
      <c r="BH93" s="13">
        <f t="shared" si="1"/>
        <v>218</v>
      </c>
      <c r="BI93" s="14">
        <f>BH93*90</f>
        <v>19620</v>
      </c>
    </row>
    <row r="94" spans="1:61" ht="51" x14ac:dyDescent="0.25">
      <c r="A94" s="10">
        <v>89</v>
      </c>
      <c r="B94" s="11" t="s">
        <v>329</v>
      </c>
      <c r="C94" s="10" t="s">
        <v>329</v>
      </c>
      <c r="D94" s="11" t="s">
        <v>330</v>
      </c>
      <c r="E94" s="10" t="s">
        <v>331</v>
      </c>
      <c r="F94" s="10" t="s">
        <v>67</v>
      </c>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v>10</v>
      </c>
      <c r="AI94" s="13">
        <v>4</v>
      </c>
      <c r="AJ94" s="12"/>
      <c r="AK94" s="12"/>
      <c r="AL94" s="12"/>
      <c r="AM94" s="12"/>
      <c r="AN94" s="12"/>
      <c r="AO94" s="12"/>
      <c r="AP94" s="12"/>
      <c r="AQ94" s="12"/>
      <c r="AR94" s="12"/>
      <c r="AS94" s="12"/>
      <c r="AT94" s="12"/>
      <c r="AU94" s="12"/>
      <c r="AV94" s="12"/>
      <c r="AW94" s="12"/>
      <c r="AX94" s="12"/>
      <c r="AY94" s="12"/>
      <c r="AZ94" s="12"/>
      <c r="BA94" s="12"/>
      <c r="BB94" s="12"/>
      <c r="BC94" s="12"/>
      <c r="BD94" s="12"/>
      <c r="BE94" s="12"/>
      <c r="BF94" s="13">
        <v>1</v>
      </c>
      <c r="BG94" s="13"/>
      <c r="BH94" s="13">
        <f t="shared" si="1"/>
        <v>15</v>
      </c>
      <c r="BI94" s="14">
        <f>BH94*900</f>
        <v>13500</v>
      </c>
    </row>
    <row r="95" spans="1:61" ht="51" x14ac:dyDescent="0.25">
      <c r="A95" s="10">
        <v>90</v>
      </c>
      <c r="B95" s="11" t="s">
        <v>332</v>
      </c>
      <c r="C95" s="10" t="s">
        <v>332</v>
      </c>
      <c r="D95" s="11" t="s">
        <v>333</v>
      </c>
      <c r="E95" s="17" t="s">
        <v>334</v>
      </c>
      <c r="F95" s="10" t="s">
        <v>67</v>
      </c>
      <c r="G95" s="12"/>
      <c r="H95" s="12"/>
      <c r="I95" s="12"/>
      <c r="J95" s="12"/>
      <c r="K95" s="12"/>
      <c r="L95" s="12"/>
      <c r="M95" s="12"/>
      <c r="N95" s="12"/>
      <c r="O95" s="12"/>
      <c r="P95" s="12"/>
      <c r="Q95" s="12"/>
      <c r="R95" s="12"/>
      <c r="S95" s="12"/>
      <c r="T95" s="12"/>
      <c r="U95" s="12"/>
      <c r="V95" s="12"/>
      <c r="W95" s="12"/>
      <c r="X95" s="12"/>
      <c r="Y95" s="12"/>
      <c r="Z95" s="13">
        <v>200</v>
      </c>
      <c r="AA95" s="12"/>
      <c r="AB95" s="12"/>
      <c r="AC95" s="12"/>
      <c r="AD95" s="12"/>
      <c r="AE95" s="12"/>
      <c r="AF95" s="12"/>
      <c r="AG95" s="13">
        <v>10</v>
      </c>
      <c r="AH95" s="12"/>
      <c r="AI95" s="12"/>
      <c r="AJ95" s="12"/>
      <c r="AK95" s="12"/>
      <c r="AL95" s="13">
        <v>5</v>
      </c>
      <c r="AM95" s="12"/>
      <c r="AN95" s="12"/>
      <c r="AO95" s="12"/>
      <c r="AP95" s="12"/>
      <c r="AQ95" s="12"/>
      <c r="AR95" s="12"/>
      <c r="AS95" s="12"/>
      <c r="AT95" s="12"/>
      <c r="AU95" s="12"/>
      <c r="AV95" s="12"/>
      <c r="AW95" s="12"/>
      <c r="AX95" s="12"/>
      <c r="AY95" s="12"/>
      <c r="AZ95" s="12"/>
      <c r="BA95" s="12"/>
      <c r="BB95" s="12"/>
      <c r="BC95" s="12"/>
      <c r="BD95" s="12"/>
      <c r="BE95" s="12"/>
      <c r="BF95" s="12"/>
      <c r="BG95" s="12"/>
      <c r="BH95" s="13">
        <f t="shared" si="1"/>
        <v>215</v>
      </c>
      <c r="BI95" s="14">
        <f>BH95*135</f>
        <v>29025</v>
      </c>
    </row>
    <row r="96" spans="1:61" ht="51" x14ac:dyDescent="0.25">
      <c r="A96" s="10">
        <v>91</v>
      </c>
      <c r="B96" s="11" t="s">
        <v>335</v>
      </c>
      <c r="C96" s="10" t="s">
        <v>335</v>
      </c>
      <c r="D96" s="11" t="s">
        <v>336</v>
      </c>
      <c r="E96" s="10" t="s">
        <v>337</v>
      </c>
      <c r="F96" s="10" t="s">
        <v>67</v>
      </c>
      <c r="G96" s="12"/>
      <c r="H96" s="12"/>
      <c r="I96" s="12"/>
      <c r="J96" s="12"/>
      <c r="K96" s="12"/>
      <c r="L96" s="12"/>
      <c r="M96" s="12"/>
      <c r="N96" s="12"/>
      <c r="O96" s="12"/>
      <c r="P96" s="12"/>
      <c r="Q96" s="12"/>
      <c r="R96" s="12"/>
      <c r="S96" s="12"/>
      <c r="T96" s="12"/>
      <c r="U96" s="12"/>
      <c r="V96" s="12"/>
      <c r="W96" s="12"/>
      <c r="X96" s="12"/>
      <c r="Y96" s="12"/>
      <c r="Z96" s="13">
        <v>600</v>
      </c>
      <c r="AA96" s="12"/>
      <c r="AB96" s="12"/>
      <c r="AC96" s="12"/>
      <c r="AD96" s="12"/>
      <c r="AE96" s="12"/>
      <c r="AF96" s="12"/>
      <c r="AG96" s="13">
        <v>10</v>
      </c>
      <c r="AH96" s="12">
        <v>50</v>
      </c>
      <c r="AI96" s="13">
        <v>10</v>
      </c>
      <c r="AJ96" s="12"/>
      <c r="AK96" s="12"/>
      <c r="AL96" s="13">
        <v>10</v>
      </c>
      <c r="AM96" s="12"/>
      <c r="AN96" s="13">
        <v>20</v>
      </c>
      <c r="AO96" s="12"/>
      <c r="AP96" s="13">
        <v>5</v>
      </c>
      <c r="AQ96" s="12"/>
      <c r="AR96" s="12"/>
      <c r="AS96" s="12"/>
      <c r="AT96" s="12"/>
      <c r="AU96" s="13">
        <v>10</v>
      </c>
      <c r="AV96" s="12"/>
      <c r="AW96" s="12"/>
      <c r="AX96" s="12"/>
      <c r="AY96" s="12"/>
      <c r="AZ96" s="12"/>
      <c r="BA96" s="12"/>
      <c r="BB96" s="12"/>
      <c r="BC96" s="12"/>
      <c r="BD96" s="12"/>
      <c r="BE96" s="12"/>
      <c r="BF96" s="13">
        <v>5</v>
      </c>
      <c r="BG96" s="13"/>
      <c r="BH96" s="13">
        <f t="shared" si="1"/>
        <v>720</v>
      </c>
      <c r="BI96" s="14">
        <f>BH96*210</f>
        <v>151200</v>
      </c>
    </row>
    <row r="97" spans="1:61" ht="51" x14ac:dyDescent="0.25">
      <c r="A97" s="10">
        <v>92</v>
      </c>
      <c r="B97" s="11" t="s">
        <v>338</v>
      </c>
      <c r="C97" s="10" t="s">
        <v>338</v>
      </c>
      <c r="D97" s="11" t="s">
        <v>339</v>
      </c>
      <c r="E97" s="10" t="s">
        <v>340</v>
      </c>
      <c r="F97" s="10" t="s">
        <v>67</v>
      </c>
      <c r="G97" s="12"/>
      <c r="H97" s="12">
        <v>150</v>
      </c>
      <c r="I97" s="12"/>
      <c r="J97" s="12"/>
      <c r="K97" s="12"/>
      <c r="L97" s="12"/>
      <c r="M97" s="12"/>
      <c r="N97" s="12"/>
      <c r="O97" s="12"/>
      <c r="P97" s="12"/>
      <c r="Q97" s="12"/>
      <c r="R97" s="12"/>
      <c r="S97" s="12"/>
      <c r="T97" s="12"/>
      <c r="U97" s="12"/>
      <c r="V97" s="12"/>
      <c r="W97" s="12"/>
      <c r="X97" s="12"/>
      <c r="Y97" s="12"/>
      <c r="Z97" s="13">
        <v>200</v>
      </c>
      <c r="AA97" s="12"/>
      <c r="AB97" s="12"/>
      <c r="AC97" s="12"/>
      <c r="AD97" s="12"/>
      <c r="AE97" s="12"/>
      <c r="AF97" s="12"/>
      <c r="AG97" s="13">
        <v>10</v>
      </c>
      <c r="AH97" s="12">
        <v>20</v>
      </c>
      <c r="AI97" s="13">
        <v>10</v>
      </c>
      <c r="AJ97" s="12"/>
      <c r="AK97" s="12"/>
      <c r="AL97" s="13">
        <v>10</v>
      </c>
      <c r="AM97" s="13">
        <v>4</v>
      </c>
      <c r="AN97" s="13">
        <v>20</v>
      </c>
      <c r="AO97" s="12"/>
      <c r="AP97" s="13">
        <v>5</v>
      </c>
      <c r="AQ97" s="12"/>
      <c r="AR97" s="12"/>
      <c r="AS97" s="12"/>
      <c r="AT97" s="12"/>
      <c r="AU97" s="13">
        <v>10</v>
      </c>
      <c r="AV97" s="12"/>
      <c r="AW97" s="12"/>
      <c r="AX97" s="12"/>
      <c r="AY97" s="13">
        <v>1</v>
      </c>
      <c r="AZ97" s="12"/>
      <c r="BA97" s="12"/>
      <c r="BB97" s="12"/>
      <c r="BC97" s="12"/>
      <c r="BD97" s="12"/>
      <c r="BE97" s="12"/>
      <c r="BF97" s="13">
        <v>5</v>
      </c>
      <c r="BG97" s="13"/>
      <c r="BH97" s="13">
        <f t="shared" si="1"/>
        <v>445</v>
      </c>
      <c r="BI97" s="14">
        <f>BH97*210</f>
        <v>93450</v>
      </c>
    </row>
    <row r="98" spans="1:61" ht="63.75" x14ac:dyDescent="0.25">
      <c r="A98" s="10">
        <v>93</v>
      </c>
      <c r="B98" s="11" t="s">
        <v>341</v>
      </c>
      <c r="C98" s="10" t="s">
        <v>342</v>
      </c>
      <c r="D98" s="11" t="s">
        <v>343</v>
      </c>
      <c r="E98" s="10" t="s">
        <v>344</v>
      </c>
      <c r="F98" s="10" t="s">
        <v>67</v>
      </c>
      <c r="G98" s="12"/>
      <c r="H98" s="12"/>
      <c r="I98" s="12"/>
      <c r="J98" s="12"/>
      <c r="K98" s="12"/>
      <c r="L98" s="12"/>
      <c r="M98" s="12"/>
      <c r="N98" s="12"/>
      <c r="O98" s="12"/>
      <c r="P98" s="12"/>
      <c r="Q98" s="12"/>
      <c r="R98" s="12"/>
      <c r="S98" s="12"/>
      <c r="T98" s="12"/>
      <c r="U98" s="12"/>
      <c r="V98" s="12"/>
      <c r="W98" s="12"/>
      <c r="X98" s="13">
        <v>2</v>
      </c>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3">
        <f t="shared" si="1"/>
        <v>2</v>
      </c>
      <c r="BI98" s="14">
        <f>BH98*14000.005</f>
        <v>28000.01</v>
      </c>
    </row>
    <row r="99" spans="1:61" ht="63.75" x14ac:dyDescent="0.25">
      <c r="A99" s="10">
        <v>94</v>
      </c>
      <c r="B99" s="11" t="s">
        <v>345</v>
      </c>
      <c r="C99" s="10" t="s">
        <v>345</v>
      </c>
      <c r="D99" s="11" t="s">
        <v>346</v>
      </c>
      <c r="E99" s="10" t="s">
        <v>347</v>
      </c>
      <c r="F99" s="10" t="s">
        <v>67</v>
      </c>
      <c r="G99" s="12"/>
      <c r="H99" s="12"/>
      <c r="I99" s="12"/>
      <c r="J99" s="12"/>
      <c r="K99" s="12"/>
      <c r="L99" s="12"/>
      <c r="M99" s="12"/>
      <c r="N99" s="12"/>
      <c r="O99" s="12"/>
      <c r="P99" s="12"/>
      <c r="Q99" s="12"/>
      <c r="R99" s="12"/>
      <c r="S99" s="12"/>
      <c r="T99" s="12"/>
      <c r="U99" s="12"/>
      <c r="V99" s="12"/>
      <c r="W99" s="12"/>
      <c r="X99" s="13">
        <v>2</v>
      </c>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3">
        <f t="shared" si="1"/>
        <v>2</v>
      </c>
      <c r="BI99" s="14">
        <f>BH99*14000.005</f>
        <v>28000.01</v>
      </c>
    </row>
    <row r="100" spans="1:61" ht="63.75" x14ac:dyDescent="0.25">
      <c r="A100" s="10">
        <v>95</v>
      </c>
      <c r="B100" s="11" t="s">
        <v>348</v>
      </c>
      <c r="C100" s="10" t="s">
        <v>348</v>
      </c>
      <c r="D100" s="11" t="s">
        <v>349</v>
      </c>
      <c r="E100" s="10" t="s">
        <v>350</v>
      </c>
      <c r="F100" s="10" t="s">
        <v>67</v>
      </c>
      <c r="G100" s="12"/>
      <c r="H100" s="12"/>
      <c r="I100" s="12"/>
      <c r="J100" s="12"/>
      <c r="K100" s="12"/>
      <c r="L100" s="12"/>
      <c r="M100" s="12"/>
      <c r="N100" s="12"/>
      <c r="O100" s="12"/>
      <c r="P100" s="12"/>
      <c r="Q100" s="12"/>
      <c r="R100" s="12"/>
      <c r="S100" s="12"/>
      <c r="T100" s="12"/>
      <c r="U100" s="12"/>
      <c r="V100" s="12"/>
      <c r="W100" s="12"/>
      <c r="X100" s="13">
        <v>2</v>
      </c>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3">
        <f t="shared" si="1"/>
        <v>2</v>
      </c>
      <c r="BI100" s="14">
        <f>BH100*14000.005</f>
        <v>28000.01</v>
      </c>
    </row>
    <row r="101" spans="1:61" ht="63.75" x14ac:dyDescent="0.25">
      <c r="A101" s="10">
        <v>96</v>
      </c>
      <c r="B101" s="11" t="s">
        <v>351</v>
      </c>
      <c r="C101" s="10" t="s">
        <v>351</v>
      </c>
      <c r="D101" s="11" t="s">
        <v>352</v>
      </c>
      <c r="E101" s="10" t="s">
        <v>353</v>
      </c>
      <c r="F101" s="10" t="s">
        <v>67</v>
      </c>
      <c r="G101" s="12"/>
      <c r="H101" s="12"/>
      <c r="I101" s="12"/>
      <c r="J101" s="12"/>
      <c r="K101" s="12"/>
      <c r="L101" s="12"/>
      <c r="M101" s="12"/>
      <c r="N101" s="12"/>
      <c r="O101" s="12"/>
      <c r="P101" s="12"/>
      <c r="Q101" s="12"/>
      <c r="R101" s="12"/>
      <c r="S101" s="12"/>
      <c r="T101" s="12"/>
      <c r="U101" s="12"/>
      <c r="V101" s="12"/>
      <c r="W101" s="12"/>
      <c r="X101" s="12"/>
      <c r="Y101" s="12"/>
      <c r="Z101" s="13">
        <v>50</v>
      </c>
      <c r="AA101" s="12"/>
      <c r="AB101" s="12"/>
      <c r="AC101" s="13">
        <v>2</v>
      </c>
      <c r="AD101" s="12"/>
      <c r="AE101" s="12"/>
      <c r="AF101" s="12"/>
      <c r="AG101" s="13">
        <v>1</v>
      </c>
      <c r="AH101" s="12">
        <v>25</v>
      </c>
      <c r="AI101" s="13">
        <v>2</v>
      </c>
      <c r="AJ101" s="12"/>
      <c r="AK101" s="12"/>
      <c r="AL101" s="12"/>
      <c r="AM101" s="12"/>
      <c r="AN101" s="12"/>
      <c r="AO101" s="12"/>
      <c r="AP101" s="13">
        <v>1</v>
      </c>
      <c r="AQ101" s="12"/>
      <c r="AR101" s="12"/>
      <c r="AS101" s="12"/>
      <c r="AT101" s="12"/>
      <c r="AU101" s="12"/>
      <c r="AV101" s="12"/>
      <c r="AW101" s="12"/>
      <c r="AX101" s="12"/>
      <c r="AY101" s="12"/>
      <c r="AZ101" s="12"/>
      <c r="BA101" s="12"/>
      <c r="BB101" s="12"/>
      <c r="BC101" s="12"/>
      <c r="BD101" s="12"/>
      <c r="BE101" s="12"/>
      <c r="BF101" s="12"/>
      <c r="BG101" s="12"/>
      <c r="BH101" s="13">
        <f t="shared" si="1"/>
        <v>81</v>
      </c>
      <c r="BI101" s="14">
        <f>BH101*1300.00803571429</f>
        <v>105300.65089285748</v>
      </c>
    </row>
    <row r="102" spans="1:61" ht="76.5" x14ac:dyDescent="0.25">
      <c r="A102" s="10">
        <v>97</v>
      </c>
      <c r="B102" s="11" t="s">
        <v>354</v>
      </c>
      <c r="C102" s="10" t="s">
        <v>354</v>
      </c>
      <c r="D102" s="11" t="s">
        <v>355</v>
      </c>
      <c r="E102" s="10" t="s">
        <v>356</v>
      </c>
      <c r="F102" s="10" t="s">
        <v>67</v>
      </c>
      <c r="G102" s="12"/>
      <c r="H102" s="12"/>
      <c r="I102" s="12"/>
      <c r="J102" s="12"/>
      <c r="K102" s="12"/>
      <c r="L102" s="12"/>
      <c r="M102" s="12"/>
      <c r="N102" s="12"/>
      <c r="O102" s="12"/>
      <c r="P102" s="12"/>
      <c r="Q102" s="12"/>
      <c r="R102" s="12"/>
      <c r="S102" s="12"/>
      <c r="T102" s="12"/>
      <c r="U102" s="12"/>
      <c r="V102" s="12"/>
      <c r="W102" s="12"/>
      <c r="X102" s="12"/>
      <c r="Y102" s="13">
        <v>5</v>
      </c>
      <c r="Z102" s="12"/>
      <c r="AA102" s="12"/>
      <c r="AB102" s="12"/>
      <c r="AC102" s="13">
        <v>5</v>
      </c>
      <c r="AD102" s="12"/>
      <c r="AE102" s="12"/>
      <c r="AF102" s="12"/>
      <c r="AG102" s="12"/>
      <c r="AH102" s="12">
        <v>10</v>
      </c>
      <c r="AI102" s="13">
        <v>2</v>
      </c>
      <c r="AJ102" s="12"/>
      <c r="AK102" s="12"/>
      <c r="AL102" s="12"/>
      <c r="AM102" s="12"/>
      <c r="AN102" s="13">
        <v>1</v>
      </c>
      <c r="AO102" s="12"/>
      <c r="AP102" s="13">
        <v>1</v>
      </c>
      <c r="AQ102" s="12"/>
      <c r="AR102" s="12"/>
      <c r="AS102" s="12"/>
      <c r="AT102" s="12"/>
      <c r="AU102" s="13">
        <v>2</v>
      </c>
      <c r="AV102" s="12"/>
      <c r="AW102" s="12"/>
      <c r="AX102" s="12"/>
      <c r="AY102" s="12"/>
      <c r="AZ102" s="12"/>
      <c r="BA102" s="12"/>
      <c r="BB102" s="12"/>
      <c r="BC102" s="12"/>
      <c r="BD102" s="12"/>
      <c r="BE102" s="12"/>
      <c r="BF102" s="12"/>
      <c r="BG102" s="12"/>
      <c r="BH102" s="13">
        <f t="shared" si="1"/>
        <v>26</v>
      </c>
      <c r="BI102" s="14">
        <f>BH102*950.00375</f>
        <v>24700.0975</v>
      </c>
    </row>
    <row r="103" spans="1:61" ht="51" x14ac:dyDescent="0.25">
      <c r="A103" s="10">
        <v>98</v>
      </c>
      <c r="B103" s="11" t="s">
        <v>357</v>
      </c>
      <c r="C103" s="10" t="s">
        <v>357</v>
      </c>
      <c r="D103" s="11" t="s">
        <v>358</v>
      </c>
      <c r="E103" s="10" t="s">
        <v>359</v>
      </c>
      <c r="F103" s="10" t="s">
        <v>67</v>
      </c>
      <c r="G103" s="12"/>
      <c r="H103" s="12"/>
      <c r="I103" s="12"/>
      <c r="J103" s="12"/>
      <c r="K103" s="12"/>
      <c r="L103" s="12"/>
      <c r="M103" s="12"/>
      <c r="N103" s="12"/>
      <c r="O103" s="12"/>
      <c r="P103" s="12"/>
      <c r="Q103" s="12"/>
      <c r="R103" s="12"/>
      <c r="S103" s="12"/>
      <c r="T103" s="12"/>
      <c r="U103" s="12"/>
      <c r="V103" s="12"/>
      <c r="W103" s="12"/>
      <c r="X103" s="12"/>
      <c r="Y103" s="13">
        <v>2</v>
      </c>
      <c r="Z103" s="12"/>
      <c r="AA103" s="12"/>
      <c r="AB103" s="12"/>
      <c r="AC103" s="12"/>
      <c r="AD103" s="12"/>
      <c r="AE103" s="12"/>
      <c r="AF103" s="12"/>
      <c r="AG103" s="13">
        <v>1</v>
      </c>
      <c r="AH103" s="12">
        <v>5</v>
      </c>
      <c r="AI103" s="13">
        <v>2</v>
      </c>
      <c r="AJ103" s="12"/>
      <c r="AK103" s="12"/>
      <c r="AL103" s="12"/>
      <c r="AM103" s="12"/>
      <c r="AN103" s="13">
        <v>1</v>
      </c>
      <c r="AO103" s="12"/>
      <c r="AP103" s="12"/>
      <c r="AQ103" s="12"/>
      <c r="AR103" s="12"/>
      <c r="AS103" s="12"/>
      <c r="AT103" s="12"/>
      <c r="AU103" s="13">
        <v>2</v>
      </c>
      <c r="AV103" s="12"/>
      <c r="AW103" s="13">
        <v>1</v>
      </c>
      <c r="AX103" s="12"/>
      <c r="AY103" s="12"/>
      <c r="AZ103" s="12"/>
      <c r="BA103" s="12"/>
      <c r="BB103" s="12"/>
      <c r="BC103" s="12"/>
      <c r="BD103" s="12"/>
      <c r="BE103" s="12"/>
      <c r="BF103" s="12"/>
      <c r="BG103" s="12"/>
      <c r="BH103" s="13">
        <f t="shared" si="1"/>
        <v>14</v>
      </c>
      <c r="BI103" s="14">
        <f>BH103*2500.00777777778</f>
        <v>35000.108888888921</v>
      </c>
    </row>
    <row r="104" spans="1:61" ht="51" x14ac:dyDescent="0.25">
      <c r="A104" s="10">
        <v>99</v>
      </c>
      <c r="B104" s="11" t="s">
        <v>360</v>
      </c>
      <c r="C104" s="10" t="s">
        <v>360</v>
      </c>
      <c r="D104" s="11" t="s">
        <v>361</v>
      </c>
      <c r="E104" s="10" t="s">
        <v>362</v>
      </c>
      <c r="F104" s="10" t="s">
        <v>67</v>
      </c>
      <c r="G104" s="12"/>
      <c r="H104" s="12"/>
      <c r="I104" s="12"/>
      <c r="J104" s="12"/>
      <c r="K104" s="12"/>
      <c r="L104" s="12"/>
      <c r="M104" s="12"/>
      <c r="N104" s="12"/>
      <c r="O104" s="12"/>
      <c r="P104" s="12"/>
      <c r="Q104" s="12"/>
      <c r="R104" s="12"/>
      <c r="S104" s="12"/>
      <c r="T104" s="12"/>
      <c r="U104" s="12"/>
      <c r="V104" s="12"/>
      <c r="W104" s="12"/>
      <c r="X104" s="12"/>
      <c r="Y104" s="13">
        <v>1</v>
      </c>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3">
        <f t="shared" si="1"/>
        <v>1</v>
      </c>
      <c r="BI104" s="14">
        <f>BH104*6000</f>
        <v>6000</v>
      </c>
    </row>
    <row r="105" spans="1:61" ht="102" x14ac:dyDescent="0.25">
      <c r="A105" s="10">
        <v>100</v>
      </c>
      <c r="B105" s="11" t="s">
        <v>363</v>
      </c>
      <c r="C105" s="10" t="s">
        <v>363</v>
      </c>
      <c r="D105" s="11" t="s">
        <v>364</v>
      </c>
      <c r="E105" s="10" t="s">
        <v>365</v>
      </c>
      <c r="F105" s="10" t="s">
        <v>67</v>
      </c>
      <c r="G105" s="12"/>
      <c r="H105" s="12"/>
      <c r="I105" s="12"/>
      <c r="J105" s="12"/>
      <c r="K105" s="12"/>
      <c r="L105" s="12"/>
      <c r="M105" s="12"/>
      <c r="N105" s="12"/>
      <c r="O105" s="12"/>
      <c r="P105" s="12"/>
      <c r="Q105" s="12"/>
      <c r="R105" s="12"/>
      <c r="S105" s="12"/>
      <c r="T105" s="12"/>
      <c r="U105" s="12"/>
      <c r="V105" s="12"/>
      <c r="W105" s="12"/>
      <c r="X105" s="12"/>
      <c r="Y105" s="13">
        <v>1</v>
      </c>
      <c r="Z105" s="12"/>
      <c r="AA105" s="12"/>
      <c r="AB105" s="12"/>
      <c r="AC105" s="12"/>
      <c r="AD105" s="12"/>
      <c r="AE105" s="12"/>
      <c r="AF105" s="12"/>
      <c r="AG105" s="13">
        <v>2</v>
      </c>
      <c r="AH105" s="13">
        <v>2</v>
      </c>
      <c r="AI105" s="13">
        <v>1</v>
      </c>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3">
        <f t="shared" si="1"/>
        <v>6</v>
      </c>
      <c r="BI105" s="14">
        <f>BH105*13260</f>
        <v>79560</v>
      </c>
    </row>
    <row r="106" spans="1:61" ht="51" x14ac:dyDescent="0.25">
      <c r="A106" s="10">
        <v>101</v>
      </c>
      <c r="B106" s="11" t="s">
        <v>366</v>
      </c>
      <c r="C106" s="10" t="s">
        <v>366</v>
      </c>
      <c r="D106" s="11" t="s">
        <v>367</v>
      </c>
      <c r="E106" s="10" t="s">
        <v>368</v>
      </c>
      <c r="F106" s="10" t="s">
        <v>67</v>
      </c>
      <c r="G106" s="12"/>
      <c r="H106" s="12"/>
      <c r="I106" s="12"/>
      <c r="J106" s="12"/>
      <c r="K106" s="12"/>
      <c r="L106" s="12"/>
      <c r="M106" s="12"/>
      <c r="N106" s="12"/>
      <c r="O106" s="12"/>
      <c r="P106" s="12"/>
      <c r="Q106" s="12"/>
      <c r="R106" s="12"/>
      <c r="S106" s="12"/>
      <c r="T106" s="12"/>
      <c r="U106" s="12"/>
      <c r="V106" s="12"/>
      <c r="W106" s="12"/>
      <c r="X106" s="12"/>
      <c r="Y106" s="13">
        <v>1</v>
      </c>
      <c r="Z106" s="13">
        <v>10</v>
      </c>
      <c r="AA106" s="12"/>
      <c r="AB106" s="12"/>
      <c r="AC106" s="13">
        <v>104</v>
      </c>
      <c r="AD106" s="12"/>
      <c r="AE106" s="13">
        <v>10</v>
      </c>
      <c r="AF106" s="12"/>
      <c r="AG106" s="12"/>
      <c r="AH106" s="13">
        <v>15</v>
      </c>
      <c r="AI106" s="12"/>
      <c r="AJ106" s="12"/>
      <c r="AK106" s="13">
        <v>2</v>
      </c>
      <c r="AL106" s="12"/>
      <c r="AM106" s="12"/>
      <c r="AN106" s="12"/>
      <c r="AO106" s="12"/>
      <c r="AP106" s="12"/>
      <c r="AQ106" s="12"/>
      <c r="AR106" s="12"/>
      <c r="AS106" s="12"/>
      <c r="AT106" s="12"/>
      <c r="AU106" s="12"/>
      <c r="AV106" s="12"/>
      <c r="AW106" s="12"/>
      <c r="AX106" s="12"/>
      <c r="AY106" s="12"/>
      <c r="AZ106" s="12"/>
      <c r="BA106" s="12"/>
      <c r="BB106" s="12"/>
      <c r="BC106" s="12"/>
      <c r="BD106" s="13">
        <v>20</v>
      </c>
      <c r="BE106" s="12"/>
      <c r="BF106" s="12"/>
      <c r="BG106" s="12"/>
      <c r="BH106" s="13">
        <f t="shared" si="1"/>
        <v>162</v>
      </c>
      <c r="BI106" s="14">
        <f>BH106*174</f>
        <v>28188</v>
      </c>
    </row>
    <row r="107" spans="1:61" ht="51" x14ac:dyDescent="0.25">
      <c r="A107" s="10">
        <v>102</v>
      </c>
      <c r="B107" s="11" t="s">
        <v>369</v>
      </c>
      <c r="C107" s="10" t="s">
        <v>369</v>
      </c>
      <c r="D107" s="11" t="s">
        <v>370</v>
      </c>
      <c r="E107" s="10" t="s">
        <v>371</v>
      </c>
      <c r="F107" s="10" t="s">
        <v>67</v>
      </c>
      <c r="G107" s="12"/>
      <c r="H107" s="12"/>
      <c r="I107" s="12"/>
      <c r="J107" s="12"/>
      <c r="K107" s="12"/>
      <c r="L107" s="12"/>
      <c r="M107" s="12"/>
      <c r="N107" s="12"/>
      <c r="O107" s="12"/>
      <c r="P107" s="12"/>
      <c r="Q107" s="12"/>
      <c r="R107" s="12"/>
      <c r="S107" s="12"/>
      <c r="T107" s="12"/>
      <c r="U107" s="12"/>
      <c r="V107" s="12"/>
      <c r="W107" s="12"/>
      <c r="X107" s="13">
        <v>75</v>
      </c>
      <c r="Y107" s="13">
        <v>1</v>
      </c>
      <c r="Z107" s="13">
        <v>32</v>
      </c>
      <c r="AA107" s="12"/>
      <c r="AB107" s="12"/>
      <c r="AC107" s="13">
        <v>100</v>
      </c>
      <c r="AD107" s="12"/>
      <c r="AE107" s="12"/>
      <c r="AF107" s="12"/>
      <c r="AG107" s="13">
        <v>10</v>
      </c>
      <c r="AH107" s="13">
        <v>25</v>
      </c>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3">
        <f t="shared" si="1"/>
        <v>243</v>
      </c>
      <c r="BI107" s="14">
        <f>BH107*174</f>
        <v>42282</v>
      </c>
    </row>
    <row r="108" spans="1:61" ht="51" x14ac:dyDescent="0.25">
      <c r="A108" s="10">
        <v>103</v>
      </c>
      <c r="B108" s="11" t="s">
        <v>372</v>
      </c>
      <c r="C108" s="10" t="s">
        <v>372</v>
      </c>
      <c r="D108" s="11" t="s">
        <v>373</v>
      </c>
      <c r="E108" s="10" t="s">
        <v>374</v>
      </c>
      <c r="F108" s="10" t="s">
        <v>67</v>
      </c>
      <c r="G108" s="12"/>
      <c r="H108" s="12"/>
      <c r="I108" s="12"/>
      <c r="J108" s="12"/>
      <c r="K108" s="12"/>
      <c r="L108" s="12"/>
      <c r="M108" s="12"/>
      <c r="N108" s="12"/>
      <c r="O108" s="12"/>
      <c r="P108" s="12"/>
      <c r="Q108" s="12"/>
      <c r="R108" s="12"/>
      <c r="S108" s="12"/>
      <c r="T108" s="12"/>
      <c r="U108" s="12"/>
      <c r="V108" s="12"/>
      <c r="W108" s="12"/>
      <c r="X108" s="12"/>
      <c r="Y108" s="12"/>
      <c r="Z108" s="12"/>
      <c r="AA108" s="12"/>
      <c r="AB108" s="12"/>
      <c r="AC108" s="13">
        <v>54</v>
      </c>
      <c r="AD108" s="12"/>
      <c r="AE108" s="12"/>
      <c r="AF108" s="12"/>
      <c r="AG108" s="13">
        <v>10</v>
      </c>
      <c r="AH108" s="13">
        <v>45</v>
      </c>
      <c r="AI108" s="12"/>
      <c r="AJ108" s="12"/>
      <c r="AK108" s="12"/>
      <c r="AL108" s="12"/>
      <c r="AM108" s="12"/>
      <c r="AN108" s="12"/>
      <c r="AO108" s="12"/>
      <c r="AP108" s="12"/>
      <c r="AQ108" s="12"/>
      <c r="AR108" s="12"/>
      <c r="AS108" s="12"/>
      <c r="AT108" s="12"/>
      <c r="AU108" s="12"/>
      <c r="AV108" s="12"/>
      <c r="AW108" s="12"/>
      <c r="AX108" s="12"/>
      <c r="AY108" s="12"/>
      <c r="AZ108" s="12"/>
      <c r="BA108" s="12"/>
      <c r="BB108" s="12"/>
      <c r="BC108" s="13">
        <v>5</v>
      </c>
      <c r="BD108" s="12"/>
      <c r="BE108" s="12"/>
      <c r="BF108" s="12"/>
      <c r="BG108" s="12"/>
      <c r="BH108" s="13">
        <f t="shared" si="1"/>
        <v>114</v>
      </c>
      <c r="BI108" s="14">
        <f>BH108*203.735964912281</f>
        <v>23225.900000000034</v>
      </c>
    </row>
    <row r="109" spans="1:61" ht="51" x14ac:dyDescent="0.25">
      <c r="A109" s="10">
        <v>104</v>
      </c>
      <c r="B109" s="11" t="s">
        <v>375</v>
      </c>
      <c r="C109" s="10" t="s">
        <v>375</v>
      </c>
      <c r="D109" s="11" t="s">
        <v>376</v>
      </c>
      <c r="E109" s="10" t="s">
        <v>377</v>
      </c>
      <c r="F109" s="10" t="s">
        <v>67</v>
      </c>
      <c r="G109" s="12"/>
      <c r="H109" s="12"/>
      <c r="I109" s="12"/>
      <c r="J109" s="12"/>
      <c r="K109" s="12"/>
      <c r="L109" s="13">
        <v>20</v>
      </c>
      <c r="M109" s="12"/>
      <c r="N109" s="12"/>
      <c r="O109" s="12"/>
      <c r="P109" s="12"/>
      <c r="Q109" s="12"/>
      <c r="R109" s="12"/>
      <c r="S109" s="12"/>
      <c r="T109" s="12"/>
      <c r="U109" s="12"/>
      <c r="V109" s="12"/>
      <c r="W109" s="12"/>
      <c r="X109" s="12"/>
      <c r="Y109" s="12"/>
      <c r="Z109" s="12"/>
      <c r="AA109" s="12"/>
      <c r="AB109" s="12"/>
      <c r="AC109" s="13">
        <v>100</v>
      </c>
      <c r="AD109" s="12"/>
      <c r="AE109" s="13">
        <v>10</v>
      </c>
      <c r="AF109" s="12"/>
      <c r="AG109" s="13">
        <v>10</v>
      </c>
      <c r="AH109" s="13">
        <v>45</v>
      </c>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3">
        <v>22</v>
      </c>
      <c r="BE109" s="12"/>
      <c r="BF109" s="12"/>
      <c r="BG109" s="12"/>
      <c r="BH109" s="13">
        <f t="shared" si="1"/>
        <v>207</v>
      </c>
      <c r="BI109" s="14">
        <f>BH109*203.735990338164</f>
        <v>42173.349999999948</v>
      </c>
    </row>
    <row r="110" spans="1:61" ht="102" x14ac:dyDescent="0.25">
      <c r="A110" s="10">
        <v>105</v>
      </c>
      <c r="B110" s="11" t="s">
        <v>378</v>
      </c>
      <c r="C110" s="10" t="s">
        <v>378</v>
      </c>
      <c r="D110" s="11" t="s">
        <v>379</v>
      </c>
      <c r="E110" s="10" t="s">
        <v>380</v>
      </c>
      <c r="F110" s="10" t="s">
        <v>67</v>
      </c>
      <c r="G110" s="12"/>
      <c r="H110" s="12"/>
      <c r="I110" s="12"/>
      <c r="J110" s="12"/>
      <c r="K110" s="12"/>
      <c r="L110" s="12"/>
      <c r="M110" s="12"/>
      <c r="N110" s="12"/>
      <c r="O110" s="12"/>
      <c r="P110" s="12"/>
      <c r="Q110" s="12"/>
      <c r="R110" s="12"/>
      <c r="S110" s="12"/>
      <c r="T110" s="12"/>
      <c r="U110" s="12"/>
      <c r="V110" s="12"/>
      <c r="W110" s="12"/>
      <c r="X110" s="12"/>
      <c r="Y110" s="12"/>
      <c r="Z110" s="13">
        <v>20</v>
      </c>
      <c r="AA110" s="12"/>
      <c r="AB110" s="12"/>
      <c r="AC110" s="12"/>
      <c r="AD110" s="12"/>
      <c r="AE110" s="12"/>
      <c r="AF110" s="12"/>
      <c r="AG110" s="13">
        <v>10</v>
      </c>
      <c r="AH110" s="12"/>
      <c r="AI110" s="13">
        <v>8</v>
      </c>
      <c r="AJ110" s="12"/>
      <c r="AK110" s="12"/>
      <c r="AL110" s="12"/>
      <c r="AM110" s="12"/>
      <c r="AN110" s="12"/>
      <c r="AO110" s="12"/>
      <c r="AP110" s="12"/>
      <c r="AQ110" s="12"/>
      <c r="AR110" s="12"/>
      <c r="AS110" s="12"/>
      <c r="AT110" s="12"/>
      <c r="AU110" s="12"/>
      <c r="AV110" s="12"/>
      <c r="AW110" s="12"/>
      <c r="AX110" s="12"/>
      <c r="AY110" s="12"/>
      <c r="AZ110" s="12"/>
      <c r="BA110" s="12"/>
      <c r="BB110" s="12"/>
      <c r="BC110" s="13">
        <v>5</v>
      </c>
      <c r="BD110" s="12"/>
      <c r="BE110" s="12"/>
      <c r="BF110" s="12"/>
      <c r="BG110" s="12"/>
      <c r="BH110" s="13">
        <f t="shared" si="1"/>
        <v>43</v>
      </c>
      <c r="BI110" s="14">
        <f>BH110*180</f>
        <v>7740</v>
      </c>
    </row>
    <row r="111" spans="1:61" ht="38.25" x14ac:dyDescent="0.25">
      <c r="A111" s="10">
        <v>106</v>
      </c>
      <c r="B111" s="11" t="s">
        <v>381</v>
      </c>
      <c r="C111" s="10" t="s">
        <v>381</v>
      </c>
      <c r="D111" s="11" t="s">
        <v>382</v>
      </c>
      <c r="E111" s="10" t="s">
        <v>383</v>
      </c>
      <c r="F111" s="10" t="s">
        <v>67</v>
      </c>
      <c r="G111" s="12"/>
      <c r="H111" s="12"/>
      <c r="I111" s="12"/>
      <c r="J111" s="13">
        <v>2</v>
      </c>
      <c r="K111" s="12"/>
      <c r="L111" s="12"/>
      <c r="M111" s="12"/>
      <c r="N111" s="12"/>
      <c r="O111" s="12"/>
      <c r="P111" s="12"/>
      <c r="Q111" s="12"/>
      <c r="R111" s="12"/>
      <c r="S111" s="12"/>
      <c r="T111" s="12"/>
      <c r="U111" s="12"/>
      <c r="V111" s="12"/>
      <c r="W111" s="12"/>
      <c r="X111" s="12"/>
      <c r="Y111" s="12"/>
      <c r="Z111" s="13">
        <v>4</v>
      </c>
      <c r="AA111" s="12"/>
      <c r="AB111" s="12"/>
      <c r="AC111" s="12"/>
      <c r="AD111" s="12"/>
      <c r="AE111" s="12"/>
      <c r="AF111" s="12"/>
      <c r="AG111" s="12"/>
      <c r="AH111" s="12"/>
      <c r="AI111" s="12"/>
      <c r="AJ111" s="12"/>
      <c r="AK111" s="12"/>
      <c r="AL111" s="13">
        <v>1</v>
      </c>
      <c r="AM111" s="12"/>
      <c r="AN111" s="12"/>
      <c r="AO111" s="12"/>
      <c r="AP111" s="12"/>
      <c r="AQ111" s="12"/>
      <c r="AR111" s="12"/>
      <c r="AS111" s="12"/>
      <c r="AT111" s="12"/>
      <c r="AU111" s="12"/>
      <c r="AV111" s="12"/>
      <c r="AW111" s="13">
        <v>2</v>
      </c>
      <c r="AX111" s="12"/>
      <c r="AY111" s="12"/>
      <c r="AZ111" s="12"/>
      <c r="BA111" s="12"/>
      <c r="BB111" s="12"/>
      <c r="BC111" s="12"/>
      <c r="BD111" s="13">
        <v>2</v>
      </c>
      <c r="BE111" s="12"/>
      <c r="BF111" s="12"/>
      <c r="BG111" s="12"/>
      <c r="BH111" s="13">
        <f t="shared" si="1"/>
        <v>11</v>
      </c>
      <c r="BI111" s="14">
        <f>BH111*290.688181818182</f>
        <v>3197.570000000002</v>
      </c>
    </row>
    <row r="112" spans="1:61" ht="63.75" x14ac:dyDescent="0.25">
      <c r="A112" s="10">
        <v>107</v>
      </c>
      <c r="B112" s="11" t="s">
        <v>384</v>
      </c>
      <c r="C112" s="10" t="s">
        <v>384</v>
      </c>
      <c r="D112" s="11" t="s">
        <v>385</v>
      </c>
      <c r="E112" s="10" t="s">
        <v>386</v>
      </c>
      <c r="F112" s="10" t="s">
        <v>67</v>
      </c>
      <c r="G112" s="12"/>
      <c r="H112" s="12"/>
      <c r="I112" s="12"/>
      <c r="J112" s="12"/>
      <c r="K112" s="12"/>
      <c r="L112" s="12"/>
      <c r="M112" s="12"/>
      <c r="N112" s="12"/>
      <c r="O112" s="12"/>
      <c r="P112" s="12"/>
      <c r="Q112" s="12"/>
      <c r="R112" s="12"/>
      <c r="S112" s="12"/>
      <c r="T112" s="12"/>
      <c r="U112" s="12"/>
      <c r="V112" s="12"/>
      <c r="W112" s="12"/>
      <c r="X112" s="12"/>
      <c r="Y112" s="12"/>
      <c r="Z112" s="12"/>
      <c r="AA112" s="12"/>
      <c r="AB112" s="12"/>
      <c r="AC112" s="13">
        <v>100</v>
      </c>
      <c r="AD112" s="12"/>
      <c r="AE112" s="12"/>
      <c r="AF112" s="12"/>
      <c r="AG112" s="13">
        <v>10</v>
      </c>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3">
        <f t="shared" si="1"/>
        <v>110</v>
      </c>
      <c r="BI112" s="14">
        <f>BH112*1272</f>
        <v>139920</v>
      </c>
    </row>
    <row r="113" spans="1:61" ht="76.5" x14ac:dyDescent="0.25">
      <c r="A113" s="10">
        <v>108</v>
      </c>
      <c r="B113" s="11" t="s">
        <v>387</v>
      </c>
      <c r="C113" s="10" t="s">
        <v>387</v>
      </c>
      <c r="D113" s="11" t="s">
        <v>388</v>
      </c>
      <c r="E113" s="10" t="s">
        <v>389</v>
      </c>
      <c r="F113" s="10" t="s">
        <v>67</v>
      </c>
      <c r="G113" s="12"/>
      <c r="H113" s="12"/>
      <c r="I113" s="12"/>
      <c r="J113" s="12"/>
      <c r="K113" s="12"/>
      <c r="L113" s="12"/>
      <c r="M113" s="12"/>
      <c r="N113" s="12"/>
      <c r="O113" s="12"/>
      <c r="P113" s="12"/>
      <c r="Q113" s="12"/>
      <c r="R113" s="12"/>
      <c r="S113" s="12"/>
      <c r="T113" s="12"/>
      <c r="U113" s="12"/>
      <c r="V113" s="12"/>
      <c r="W113" s="12"/>
      <c r="X113" s="12"/>
      <c r="Y113" s="12"/>
      <c r="Z113" s="12"/>
      <c r="AA113" s="12"/>
      <c r="AB113" s="12"/>
      <c r="AC113" s="13">
        <v>100</v>
      </c>
      <c r="AD113" s="12"/>
      <c r="AE113" s="12"/>
      <c r="AF113" s="12"/>
      <c r="AG113" s="12"/>
      <c r="AH113" s="13">
        <v>50</v>
      </c>
      <c r="AI113" s="13">
        <v>6</v>
      </c>
      <c r="AJ113" s="12"/>
      <c r="AK113" s="13">
        <v>1</v>
      </c>
      <c r="AL113" s="12"/>
      <c r="AM113" s="13">
        <v>8</v>
      </c>
      <c r="AN113" s="12"/>
      <c r="AO113" s="12"/>
      <c r="AP113" s="13">
        <v>10</v>
      </c>
      <c r="AQ113" s="12"/>
      <c r="AR113" s="12"/>
      <c r="AS113" s="12"/>
      <c r="AT113" s="12"/>
      <c r="AU113" s="12"/>
      <c r="AV113" s="12"/>
      <c r="AW113" s="12"/>
      <c r="AX113" s="12"/>
      <c r="AY113" s="12"/>
      <c r="AZ113" s="12"/>
      <c r="BA113" s="12"/>
      <c r="BB113" s="12"/>
      <c r="BC113" s="12"/>
      <c r="BD113" s="12"/>
      <c r="BE113" s="12"/>
      <c r="BF113" s="12"/>
      <c r="BG113" s="12"/>
      <c r="BH113" s="13">
        <f t="shared" si="1"/>
        <v>175</v>
      </c>
      <c r="BI113" s="14">
        <f>BH113*111.804</f>
        <v>19565.7</v>
      </c>
    </row>
    <row r="114" spans="1:61" ht="51" x14ac:dyDescent="0.25">
      <c r="A114" s="10">
        <v>109</v>
      </c>
      <c r="B114" s="11" t="s">
        <v>390</v>
      </c>
      <c r="C114" s="10" t="s">
        <v>390</v>
      </c>
      <c r="D114" s="11" t="s">
        <v>391</v>
      </c>
      <c r="E114" s="10" t="s">
        <v>392</v>
      </c>
      <c r="F114" s="10" t="s">
        <v>67</v>
      </c>
      <c r="G114" s="12"/>
      <c r="H114" s="12"/>
      <c r="I114" s="12"/>
      <c r="J114" s="12"/>
      <c r="K114" s="12"/>
      <c r="L114" s="12"/>
      <c r="M114" s="12"/>
      <c r="N114" s="12"/>
      <c r="O114" s="12"/>
      <c r="P114" s="12"/>
      <c r="Q114" s="12"/>
      <c r="R114" s="12"/>
      <c r="S114" s="12"/>
      <c r="T114" s="12"/>
      <c r="U114" s="12"/>
      <c r="V114" s="12"/>
      <c r="W114" s="12"/>
      <c r="X114" s="12"/>
      <c r="Y114" s="13">
        <v>1</v>
      </c>
      <c r="Z114" s="13">
        <v>8</v>
      </c>
      <c r="AA114" s="12"/>
      <c r="AB114" s="12"/>
      <c r="AC114" s="12"/>
      <c r="AD114" s="12"/>
      <c r="AE114" s="12"/>
      <c r="AF114" s="12"/>
      <c r="AG114" s="12"/>
      <c r="AH114" s="12"/>
      <c r="AI114" s="12"/>
      <c r="AJ114" s="12"/>
      <c r="AK114" s="12"/>
      <c r="AL114" s="12"/>
      <c r="AM114" s="13">
        <v>2</v>
      </c>
      <c r="AN114" s="12"/>
      <c r="AO114" s="12"/>
      <c r="AP114" s="13">
        <v>5</v>
      </c>
      <c r="AQ114" s="12"/>
      <c r="AR114" s="12"/>
      <c r="AS114" s="12"/>
      <c r="AT114" s="12"/>
      <c r="AU114" s="12"/>
      <c r="AV114" s="12"/>
      <c r="AW114" s="12"/>
      <c r="AX114" s="12"/>
      <c r="AY114" s="12"/>
      <c r="AZ114" s="12"/>
      <c r="BA114" s="12"/>
      <c r="BB114" s="12"/>
      <c r="BC114" s="12"/>
      <c r="BD114" s="12"/>
      <c r="BE114" s="12"/>
      <c r="BF114" s="12"/>
      <c r="BG114" s="12"/>
      <c r="BH114" s="13">
        <f t="shared" si="1"/>
        <v>16</v>
      </c>
      <c r="BI114" s="14">
        <f>BH114*258</f>
        <v>4128</v>
      </c>
    </row>
    <row r="115" spans="1:61" ht="63.75" x14ac:dyDescent="0.25">
      <c r="A115" s="10">
        <v>110</v>
      </c>
      <c r="B115" s="11" t="s">
        <v>393</v>
      </c>
      <c r="C115" s="10" t="s">
        <v>393</v>
      </c>
      <c r="D115" s="11" t="s">
        <v>394</v>
      </c>
      <c r="E115" s="10" t="s">
        <v>395</v>
      </c>
      <c r="F115" s="10" t="s">
        <v>67</v>
      </c>
      <c r="G115" s="12"/>
      <c r="H115" s="13">
        <v>25</v>
      </c>
      <c r="I115" s="12"/>
      <c r="J115" s="12"/>
      <c r="K115" s="12"/>
      <c r="L115" s="12"/>
      <c r="M115" s="12"/>
      <c r="N115" s="12"/>
      <c r="O115" s="12"/>
      <c r="P115" s="12"/>
      <c r="Q115" s="12"/>
      <c r="R115" s="12"/>
      <c r="S115" s="12"/>
      <c r="T115" s="12"/>
      <c r="U115" s="12"/>
      <c r="V115" s="12"/>
      <c r="W115" s="12"/>
      <c r="X115" s="13">
        <v>100</v>
      </c>
      <c r="Y115" s="13">
        <v>2</v>
      </c>
      <c r="Z115" s="12"/>
      <c r="AA115" s="12"/>
      <c r="AB115" s="12"/>
      <c r="AC115" s="13">
        <v>50</v>
      </c>
      <c r="AD115" s="13">
        <v>3</v>
      </c>
      <c r="AE115" s="13">
        <v>30</v>
      </c>
      <c r="AF115" s="12"/>
      <c r="AG115" s="12"/>
      <c r="AH115" s="12"/>
      <c r="AI115" s="12"/>
      <c r="AJ115" s="12"/>
      <c r="AK115" s="13">
        <v>1</v>
      </c>
      <c r="AL115" s="12"/>
      <c r="AM115" s="13">
        <v>8</v>
      </c>
      <c r="AN115" s="12"/>
      <c r="AO115" s="12"/>
      <c r="AP115" s="12"/>
      <c r="AQ115" s="12"/>
      <c r="AR115" s="13">
        <v>23</v>
      </c>
      <c r="AS115" s="12"/>
      <c r="AT115" s="12"/>
      <c r="AU115" s="12"/>
      <c r="AV115" s="12"/>
      <c r="AW115" s="12"/>
      <c r="AX115" s="12"/>
      <c r="AY115" s="13">
        <v>10</v>
      </c>
      <c r="AZ115" s="12"/>
      <c r="BA115" s="12"/>
      <c r="BB115" s="12"/>
      <c r="BC115" s="12"/>
      <c r="BD115" s="12"/>
      <c r="BE115" s="12"/>
      <c r="BF115" s="12"/>
      <c r="BG115" s="12"/>
      <c r="BH115" s="13">
        <f t="shared" si="1"/>
        <v>252</v>
      </c>
      <c r="BI115" s="14">
        <f>BH115*129.191984126984</f>
        <v>32556.379999999972</v>
      </c>
    </row>
    <row r="116" spans="1:61" ht="51" x14ac:dyDescent="0.25">
      <c r="A116" s="10">
        <v>111</v>
      </c>
      <c r="B116" s="11" t="s">
        <v>396</v>
      </c>
      <c r="C116" s="10" t="s">
        <v>396</v>
      </c>
      <c r="D116" s="11" t="s">
        <v>397</v>
      </c>
      <c r="E116" s="10" t="s">
        <v>398</v>
      </c>
      <c r="F116" s="10" t="s">
        <v>67</v>
      </c>
      <c r="G116" s="12"/>
      <c r="H116" s="12"/>
      <c r="I116" s="12"/>
      <c r="J116" s="12"/>
      <c r="K116" s="12"/>
      <c r="L116" s="12"/>
      <c r="M116" s="12"/>
      <c r="N116" s="12"/>
      <c r="O116" s="12"/>
      <c r="P116" s="12"/>
      <c r="Q116" s="12"/>
      <c r="R116" s="12"/>
      <c r="S116" s="12"/>
      <c r="T116" s="12"/>
      <c r="U116" s="12"/>
      <c r="V116" s="12"/>
      <c r="W116" s="12"/>
      <c r="X116" s="12"/>
      <c r="Y116" s="13">
        <v>2</v>
      </c>
      <c r="Z116" s="12"/>
      <c r="AA116" s="12"/>
      <c r="AB116" s="12"/>
      <c r="AC116" s="12"/>
      <c r="AD116" s="12"/>
      <c r="AE116" s="12"/>
      <c r="AF116" s="12"/>
      <c r="AG116" s="12"/>
      <c r="AH116" s="13">
        <v>20</v>
      </c>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3">
        <f t="shared" si="1"/>
        <v>22</v>
      </c>
      <c r="BI116" s="14">
        <f>BH116*173.915909090909</f>
        <v>3826.1499999999978</v>
      </c>
    </row>
    <row r="117" spans="1:61" ht="51" x14ac:dyDescent="0.25">
      <c r="A117" s="10">
        <v>112</v>
      </c>
      <c r="B117" s="11" t="s">
        <v>399</v>
      </c>
      <c r="C117" s="10" t="s">
        <v>399</v>
      </c>
      <c r="D117" s="11" t="s">
        <v>400</v>
      </c>
      <c r="E117" s="10" t="s">
        <v>401</v>
      </c>
      <c r="F117" s="10" t="s">
        <v>67</v>
      </c>
      <c r="G117" s="12"/>
      <c r="H117" s="12"/>
      <c r="I117" s="12"/>
      <c r="J117" s="12"/>
      <c r="K117" s="12"/>
      <c r="L117" s="12"/>
      <c r="M117" s="12"/>
      <c r="N117" s="12"/>
      <c r="O117" s="12"/>
      <c r="P117" s="12"/>
      <c r="Q117" s="12"/>
      <c r="R117" s="12"/>
      <c r="S117" s="12"/>
      <c r="T117" s="12"/>
      <c r="U117" s="12"/>
      <c r="V117" s="12"/>
      <c r="W117" s="12"/>
      <c r="X117" s="12"/>
      <c r="Y117" s="13">
        <v>2</v>
      </c>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3">
        <f t="shared" si="1"/>
        <v>2</v>
      </c>
      <c r="BI117" s="14">
        <f>BH117*1405.2</f>
        <v>2810.4</v>
      </c>
    </row>
    <row r="118" spans="1:61" ht="51" x14ac:dyDescent="0.25">
      <c r="A118" s="10">
        <v>113</v>
      </c>
      <c r="B118" s="11" t="s">
        <v>402</v>
      </c>
      <c r="C118" s="10" t="s">
        <v>402</v>
      </c>
      <c r="D118" s="11" t="s">
        <v>403</v>
      </c>
      <c r="E118" s="10" t="s">
        <v>404</v>
      </c>
      <c r="F118" s="10" t="s">
        <v>67</v>
      </c>
      <c r="G118" s="12"/>
      <c r="H118" s="12"/>
      <c r="I118" s="12"/>
      <c r="J118" s="12"/>
      <c r="K118" s="12"/>
      <c r="L118" s="12"/>
      <c r="M118" s="12"/>
      <c r="N118" s="12"/>
      <c r="O118" s="12"/>
      <c r="P118" s="12"/>
      <c r="Q118" s="12"/>
      <c r="R118" s="12"/>
      <c r="S118" s="12"/>
      <c r="T118" s="12"/>
      <c r="U118" s="12"/>
      <c r="V118" s="12"/>
      <c r="W118" s="12"/>
      <c r="X118" s="12"/>
      <c r="Y118" s="13">
        <v>1</v>
      </c>
      <c r="Z118" s="12"/>
      <c r="AA118" s="12"/>
      <c r="AB118" s="12"/>
      <c r="AC118" s="12"/>
      <c r="AD118" s="12"/>
      <c r="AE118" s="12"/>
      <c r="AF118" s="12"/>
      <c r="AG118" s="12"/>
      <c r="AH118" s="13">
        <v>75</v>
      </c>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3">
        <f t="shared" si="1"/>
        <v>76</v>
      </c>
      <c r="BI118" s="14">
        <f>BH118*2325.6</f>
        <v>176745.60000000001</v>
      </c>
    </row>
    <row r="119" spans="1:61" ht="63.75" x14ac:dyDescent="0.25">
      <c r="A119" s="10">
        <v>114</v>
      </c>
      <c r="B119" s="11" t="s">
        <v>405</v>
      </c>
      <c r="C119" s="10" t="s">
        <v>405</v>
      </c>
      <c r="D119" s="11" t="s">
        <v>406</v>
      </c>
      <c r="E119" s="10" t="s">
        <v>407</v>
      </c>
      <c r="F119" s="10" t="s">
        <v>67</v>
      </c>
      <c r="G119" s="12"/>
      <c r="H119" s="12"/>
      <c r="I119" s="12"/>
      <c r="J119" s="12"/>
      <c r="K119" s="12"/>
      <c r="L119" s="12"/>
      <c r="M119" s="12"/>
      <c r="N119" s="12"/>
      <c r="O119" s="12"/>
      <c r="P119" s="12"/>
      <c r="Q119" s="12"/>
      <c r="R119" s="12"/>
      <c r="S119" s="12"/>
      <c r="T119" s="12"/>
      <c r="U119" s="12"/>
      <c r="V119" s="12"/>
      <c r="W119" s="12"/>
      <c r="X119" s="12"/>
      <c r="Y119" s="13">
        <v>1</v>
      </c>
      <c r="Z119" s="12"/>
      <c r="AA119" s="12"/>
      <c r="AB119" s="12"/>
      <c r="AC119" s="12"/>
      <c r="AD119" s="12"/>
      <c r="AE119" s="12"/>
      <c r="AF119" s="12"/>
      <c r="AG119" s="12"/>
      <c r="AH119" s="13">
        <v>75</v>
      </c>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3">
        <f t="shared" si="1"/>
        <v>76</v>
      </c>
      <c r="BI119" s="14">
        <f>BH119*2247.6</f>
        <v>170817.6</v>
      </c>
    </row>
    <row r="120" spans="1:61" ht="76.5" x14ac:dyDescent="0.25">
      <c r="A120" s="10">
        <v>115</v>
      </c>
      <c r="B120" s="11" t="s">
        <v>408</v>
      </c>
      <c r="C120" s="10" t="s">
        <v>408</v>
      </c>
      <c r="D120" s="11" t="s">
        <v>409</v>
      </c>
      <c r="E120" s="10" t="s">
        <v>410</v>
      </c>
      <c r="F120" s="10" t="s">
        <v>67</v>
      </c>
      <c r="G120" s="12"/>
      <c r="H120" s="12"/>
      <c r="I120" s="12"/>
      <c r="J120" s="12"/>
      <c r="K120" s="13">
        <v>2</v>
      </c>
      <c r="L120" s="12"/>
      <c r="M120" s="12"/>
      <c r="N120" s="12"/>
      <c r="O120" s="12"/>
      <c r="P120" s="12"/>
      <c r="Q120" s="12"/>
      <c r="R120" s="12"/>
      <c r="S120" s="12"/>
      <c r="T120" s="12"/>
      <c r="U120" s="12"/>
      <c r="V120" s="12"/>
      <c r="W120" s="12"/>
      <c r="X120" s="12"/>
      <c r="Y120" s="13">
        <v>5</v>
      </c>
      <c r="Z120" s="13">
        <v>10</v>
      </c>
      <c r="AA120" s="12"/>
      <c r="AB120" s="12"/>
      <c r="AC120" s="12"/>
      <c r="AD120" s="12"/>
      <c r="AE120" s="12"/>
      <c r="AF120" s="12"/>
      <c r="AG120" s="13">
        <v>20</v>
      </c>
      <c r="AH120" s="12"/>
      <c r="AI120" s="12"/>
      <c r="AJ120" s="12"/>
      <c r="AK120" s="13">
        <v>2</v>
      </c>
      <c r="AL120" s="12"/>
      <c r="AM120" s="12"/>
      <c r="AN120" s="12"/>
      <c r="AO120" s="13">
        <v>10</v>
      </c>
      <c r="AP120" s="12"/>
      <c r="AQ120" s="12"/>
      <c r="AR120" s="13">
        <v>45</v>
      </c>
      <c r="AS120" s="12"/>
      <c r="AT120" s="12"/>
      <c r="AU120" s="13">
        <v>15</v>
      </c>
      <c r="AV120" s="12"/>
      <c r="AW120" s="12"/>
      <c r="AX120" s="12"/>
      <c r="AY120" s="13">
        <v>5</v>
      </c>
      <c r="AZ120" s="12"/>
      <c r="BA120" s="12"/>
      <c r="BB120" s="12"/>
      <c r="BC120" s="12"/>
      <c r="BD120" s="12"/>
      <c r="BE120" s="13">
        <v>6</v>
      </c>
      <c r="BF120" s="12"/>
      <c r="BG120" s="12"/>
      <c r="BH120" s="13">
        <f t="shared" si="1"/>
        <v>120</v>
      </c>
      <c r="BI120" s="14">
        <f>BH120*174</f>
        <v>20880</v>
      </c>
    </row>
    <row r="121" spans="1:61" ht="76.5" x14ac:dyDescent="0.25">
      <c r="A121" s="10">
        <v>116</v>
      </c>
      <c r="B121" s="11" t="s">
        <v>411</v>
      </c>
      <c r="C121" s="10" t="s">
        <v>411</v>
      </c>
      <c r="D121" s="11" t="s">
        <v>412</v>
      </c>
      <c r="E121" s="10" t="s">
        <v>413</v>
      </c>
      <c r="F121" s="10" t="s">
        <v>67</v>
      </c>
      <c r="G121" s="12"/>
      <c r="H121" s="12"/>
      <c r="I121" s="12"/>
      <c r="J121" s="12"/>
      <c r="K121" s="12"/>
      <c r="L121" s="12"/>
      <c r="M121" s="12"/>
      <c r="N121" s="12"/>
      <c r="O121" s="12"/>
      <c r="P121" s="12"/>
      <c r="Q121" s="12"/>
      <c r="R121" s="12"/>
      <c r="S121" s="12"/>
      <c r="T121" s="12"/>
      <c r="U121" s="12"/>
      <c r="V121" s="12"/>
      <c r="W121" s="12"/>
      <c r="X121" s="12"/>
      <c r="Y121" s="12"/>
      <c r="Z121" s="12"/>
      <c r="AA121" s="12"/>
      <c r="AB121" s="12"/>
      <c r="AC121" s="13">
        <v>10</v>
      </c>
      <c r="AD121" s="12"/>
      <c r="AE121" s="12"/>
      <c r="AF121" s="12"/>
      <c r="AG121" s="12"/>
      <c r="AH121" s="12"/>
      <c r="AI121" s="12"/>
      <c r="AJ121" s="12"/>
      <c r="AK121" s="12"/>
      <c r="AL121" s="12"/>
      <c r="AM121" s="13">
        <v>8</v>
      </c>
      <c r="AN121" s="12"/>
      <c r="AO121" s="12"/>
      <c r="AP121" s="12"/>
      <c r="AQ121" s="12"/>
      <c r="AR121" s="12"/>
      <c r="AS121" s="12"/>
      <c r="AT121" s="13">
        <v>5</v>
      </c>
      <c r="AU121" s="12"/>
      <c r="AV121" s="12"/>
      <c r="AW121" s="12"/>
      <c r="AX121" s="12"/>
      <c r="AY121" s="12"/>
      <c r="AZ121" s="12"/>
      <c r="BA121" s="12"/>
      <c r="BB121" s="12"/>
      <c r="BC121" s="12"/>
      <c r="BD121" s="13">
        <v>5</v>
      </c>
      <c r="BE121" s="13">
        <v>6</v>
      </c>
      <c r="BF121" s="12"/>
      <c r="BG121" s="12"/>
      <c r="BH121" s="13">
        <f t="shared" si="1"/>
        <v>34</v>
      </c>
      <c r="BI121" s="14">
        <f>BH121*74</f>
        <v>2516</v>
      </c>
    </row>
    <row r="122" spans="1:61" ht="76.5" x14ac:dyDescent="0.25">
      <c r="A122" s="10">
        <v>117</v>
      </c>
      <c r="B122" s="11" t="s">
        <v>414</v>
      </c>
      <c r="C122" s="10" t="s">
        <v>414</v>
      </c>
      <c r="D122" s="11" t="s">
        <v>415</v>
      </c>
      <c r="E122" s="10" t="s">
        <v>416</v>
      </c>
      <c r="F122" s="10" t="s">
        <v>67</v>
      </c>
      <c r="G122" s="12"/>
      <c r="H122" s="12"/>
      <c r="I122" s="12"/>
      <c r="J122" s="12"/>
      <c r="K122" s="12"/>
      <c r="L122" s="12"/>
      <c r="M122" s="12"/>
      <c r="N122" s="12"/>
      <c r="O122" s="12"/>
      <c r="P122" s="12"/>
      <c r="Q122" s="12"/>
      <c r="R122" s="12"/>
      <c r="S122" s="12"/>
      <c r="T122" s="12"/>
      <c r="U122" s="12"/>
      <c r="V122" s="12"/>
      <c r="W122" s="12"/>
      <c r="X122" s="13">
        <v>10</v>
      </c>
      <c r="Y122" s="13">
        <v>2</v>
      </c>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3">
        <f t="shared" si="1"/>
        <v>12</v>
      </c>
      <c r="BI122" s="14">
        <f>BH122*874.8</f>
        <v>10497.599999999999</v>
      </c>
    </row>
    <row r="123" spans="1:61" ht="51" x14ac:dyDescent="0.25">
      <c r="A123" s="10">
        <v>118</v>
      </c>
      <c r="B123" s="11" t="s">
        <v>417</v>
      </c>
      <c r="C123" s="10" t="s">
        <v>417</v>
      </c>
      <c r="D123" s="11" t="s">
        <v>418</v>
      </c>
      <c r="E123" s="10" t="s">
        <v>419</v>
      </c>
      <c r="F123" s="10" t="s">
        <v>67</v>
      </c>
      <c r="G123" s="12"/>
      <c r="H123" s="13">
        <v>10</v>
      </c>
      <c r="I123" s="12"/>
      <c r="J123" s="12"/>
      <c r="K123" s="12"/>
      <c r="L123" s="12"/>
      <c r="M123" s="13">
        <v>1</v>
      </c>
      <c r="N123" s="12"/>
      <c r="O123" s="12"/>
      <c r="P123" s="12"/>
      <c r="Q123" s="12"/>
      <c r="R123" s="12"/>
      <c r="S123" s="12"/>
      <c r="T123" s="12"/>
      <c r="U123" s="12"/>
      <c r="V123" s="12"/>
      <c r="W123" s="12"/>
      <c r="X123" s="13">
        <v>20</v>
      </c>
      <c r="Y123" s="13">
        <v>2</v>
      </c>
      <c r="Z123" s="13">
        <v>20</v>
      </c>
      <c r="AA123" s="12"/>
      <c r="AB123" s="13">
        <v>5</v>
      </c>
      <c r="AC123" s="13">
        <v>130</v>
      </c>
      <c r="AD123" s="13">
        <v>5</v>
      </c>
      <c r="AE123" s="12"/>
      <c r="AF123" s="12"/>
      <c r="AG123" s="12"/>
      <c r="AH123" s="12"/>
      <c r="AI123" s="13">
        <v>5</v>
      </c>
      <c r="AJ123" s="12"/>
      <c r="AK123" s="12"/>
      <c r="AL123" s="13">
        <v>10</v>
      </c>
      <c r="AM123" s="13">
        <v>8</v>
      </c>
      <c r="AN123" s="12"/>
      <c r="AO123" s="13">
        <v>10</v>
      </c>
      <c r="AP123" s="12"/>
      <c r="AQ123" s="12"/>
      <c r="AR123" s="13">
        <v>15</v>
      </c>
      <c r="AS123" s="13">
        <v>10</v>
      </c>
      <c r="AT123" s="12"/>
      <c r="AU123" s="13">
        <v>10</v>
      </c>
      <c r="AV123" s="12"/>
      <c r="AW123" s="12"/>
      <c r="AX123" s="13">
        <v>1</v>
      </c>
      <c r="AY123" s="13">
        <v>10</v>
      </c>
      <c r="AZ123" s="12"/>
      <c r="BA123" s="13">
        <v>6</v>
      </c>
      <c r="BB123" s="12"/>
      <c r="BC123" s="13">
        <v>2</v>
      </c>
      <c r="BD123" s="13">
        <v>30</v>
      </c>
      <c r="BE123" s="12"/>
      <c r="BF123" s="12"/>
      <c r="BG123" s="12"/>
      <c r="BH123" s="13">
        <f t="shared" si="1"/>
        <v>310</v>
      </c>
      <c r="BI123" s="14">
        <f>BH123*91.932</f>
        <v>28498.920000000002</v>
      </c>
    </row>
    <row r="124" spans="1:61" ht="51" x14ac:dyDescent="0.25">
      <c r="A124" s="10">
        <v>119</v>
      </c>
      <c r="B124" s="11" t="s">
        <v>420</v>
      </c>
      <c r="C124" s="10" t="s">
        <v>421</v>
      </c>
      <c r="D124" s="11" t="s">
        <v>422</v>
      </c>
      <c r="E124" s="18" t="s">
        <v>423</v>
      </c>
      <c r="F124" s="10" t="s">
        <v>67</v>
      </c>
      <c r="G124" s="12"/>
      <c r="H124" s="13">
        <v>25</v>
      </c>
      <c r="I124" s="12"/>
      <c r="J124" s="12"/>
      <c r="K124" s="12"/>
      <c r="L124" s="13">
        <v>20</v>
      </c>
      <c r="M124" s="12"/>
      <c r="N124" s="12"/>
      <c r="O124" s="12"/>
      <c r="P124" s="12"/>
      <c r="Q124" s="12"/>
      <c r="R124" s="12"/>
      <c r="S124" s="12"/>
      <c r="T124" s="12"/>
      <c r="U124" s="12"/>
      <c r="V124" s="12"/>
      <c r="W124" s="12"/>
      <c r="X124" s="12"/>
      <c r="Y124" s="12"/>
      <c r="Z124" s="13">
        <v>50</v>
      </c>
      <c r="AA124" s="12"/>
      <c r="AB124" s="13">
        <v>5</v>
      </c>
      <c r="AC124" s="13">
        <v>70</v>
      </c>
      <c r="AD124" s="13">
        <v>25</v>
      </c>
      <c r="AE124" s="13">
        <v>10</v>
      </c>
      <c r="AF124" s="12"/>
      <c r="AG124" s="12"/>
      <c r="AH124" s="13">
        <v>60</v>
      </c>
      <c r="AI124" s="13">
        <v>15</v>
      </c>
      <c r="AJ124" s="12"/>
      <c r="AK124" s="12"/>
      <c r="AL124" s="13">
        <v>33</v>
      </c>
      <c r="AM124" s="13">
        <v>8</v>
      </c>
      <c r="AN124" s="13">
        <v>2</v>
      </c>
      <c r="AO124" s="12"/>
      <c r="AP124" s="12"/>
      <c r="AQ124" s="12"/>
      <c r="AR124" s="13">
        <v>5</v>
      </c>
      <c r="AS124" s="12"/>
      <c r="AT124" s="12"/>
      <c r="AU124" s="13">
        <v>10</v>
      </c>
      <c r="AV124" s="12"/>
      <c r="AW124" s="12"/>
      <c r="AX124" s="12"/>
      <c r="AY124" s="12"/>
      <c r="AZ124" s="12"/>
      <c r="BA124" s="13">
        <v>4</v>
      </c>
      <c r="BB124" s="12"/>
      <c r="BC124" s="13">
        <v>6</v>
      </c>
      <c r="BD124" s="13">
        <v>20</v>
      </c>
      <c r="BE124" s="12"/>
      <c r="BF124" s="12"/>
      <c r="BG124" s="12"/>
      <c r="BH124" s="13">
        <f t="shared" si="1"/>
        <v>368</v>
      </c>
      <c r="BI124" s="14">
        <f>BH124*163.427989130435</f>
        <v>60141.50000000008</v>
      </c>
    </row>
    <row r="125" spans="1:61" ht="38.25" x14ac:dyDescent="0.25">
      <c r="A125" s="10">
        <v>120</v>
      </c>
      <c r="B125" s="11" t="s">
        <v>424</v>
      </c>
      <c r="C125" s="10" t="s">
        <v>424</v>
      </c>
      <c r="D125" s="11" t="s">
        <v>425</v>
      </c>
      <c r="E125" s="10" t="s">
        <v>426</v>
      </c>
      <c r="F125" s="10" t="s">
        <v>67</v>
      </c>
      <c r="G125" s="12"/>
      <c r="H125" s="13">
        <v>5</v>
      </c>
      <c r="I125" s="12"/>
      <c r="J125" s="12"/>
      <c r="K125" s="12"/>
      <c r="L125" s="13">
        <v>20</v>
      </c>
      <c r="M125" s="12"/>
      <c r="N125" s="12"/>
      <c r="O125" s="12"/>
      <c r="P125" s="12"/>
      <c r="Q125" s="12"/>
      <c r="R125" s="12"/>
      <c r="S125" s="12"/>
      <c r="T125" s="12"/>
      <c r="U125" s="12"/>
      <c r="V125" s="12"/>
      <c r="W125" s="12"/>
      <c r="X125" s="12"/>
      <c r="Y125" s="13">
        <v>2</v>
      </c>
      <c r="Z125" s="13">
        <v>20</v>
      </c>
      <c r="AA125" s="12"/>
      <c r="AB125" s="12"/>
      <c r="AC125" s="13">
        <v>20</v>
      </c>
      <c r="AD125" s="12"/>
      <c r="AE125" s="13">
        <v>30</v>
      </c>
      <c r="AF125" s="12"/>
      <c r="AG125" s="13">
        <v>10</v>
      </c>
      <c r="AH125" s="13">
        <v>25</v>
      </c>
      <c r="AI125" s="13">
        <v>10</v>
      </c>
      <c r="AJ125" s="12"/>
      <c r="AK125" s="12"/>
      <c r="AL125" s="13">
        <v>5</v>
      </c>
      <c r="AM125" s="13">
        <v>4</v>
      </c>
      <c r="AN125" s="12"/>
      <c r="AO125" s="12"/>
      <c r="AP125" s="12"/>
      <c r="AQ125" s="12"/>
      <c r="AR125" s="13">
        <v>15</v>
      </c>
      <c r="AS125" s="12"/>
      <c r="AT125" s="12"/>
      <c r="AU125" s="12"/>
      <c r="AV125" s="12"/>
      <c r="AW125" s="12"/>
      <c r="AX125" s="12"/>
      <c r="AY125" s="12"/>
      <c r="AZ125" s="12"/>
      <c r="BA125" s="12"/>
      <c r="BB125" s="12"/>
      <c r="BC125" s="13">
        <v>10</v>
      </c>
      <c r="BD125" s="13">
        <v>15</v>
      </c>
      <c r="BE125" s="12"/>
      <c r="BF125" s="12"/>
      <c r="BG125" s="12"/>
      <c r="BH125" s="13">
        <f t="shared" si="1"/>
        <v>191</v>
      </c>
      <c r="BI125" s="14">
        <f>BH125*199.008010471204</f>
        <v>38010.529999999962</v>
      </c>
    </row>
    <row r="126" spans="1:61" ht="63.75" x14ac:dyDescent="0.25">
      <c r="A126" s="10">
        <v>121</v>
      </c>
      <c r="B126" s="11" t="s">
        <v>427</v>
      </c>
      <c r="C126" s="10" t="s">
        <v>427</v>
      </c>
      <c r="D126" s="11" t="s">
        <v>428</v>
      </c>
      <c r="E126" s="10" t="s">
        <v>429</v>
      </c>
      <c r="F126" s="10" t="s">
        <v>67</v>
      </c>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3">
        <v>5</v>
      </c>
      <c r="AI126" s="12"/>
      <c r="AJ126" s="12"/>
      <c r="AK126" s="12"/>
      <c r="AL126" s="12"/>
      <c r="AM126" s="13">
        <v>4</v>
      </c>
      <c r="AN126" s="12"/>
      <c r="AO126" s="12"/>
      <c r="AP126" s="12"/>
      <c r="AQ126" s="12"/>
      <c r="AR126" s="12"/>
      <c r="AS126" s="12"/>
      <c r="AT126" s="12"/>
      <c r="AU126" s="12"/>
      <c r="AV126" s="12"/>
      <c r="AW126" s="12"/>
      <c r="AX126" s="12"/>
      <c r="AY126" s="12"/>
      <c r="AZ126" s="12"/>
      <c r="BA126" s="12"/>
      <c r="BB126" s="12"/>
      <c r="BC126" s="12"/>
      <c r="BD126" s="12"/>
      <c r="BE126" s="12"/>
      <c r="BF126" s="12"/>
      <c r="BG126" s="12"/>
      <c r="BH126" s="13">
        <f t="shared" si="1"/>
        <v>9</v>
      </c>
      <c r="BI126" s="14">
        <f>BH126*1330.8</f>
        <v>11977.199999999999</v>
      </c>
    </row>
    <row r="127" spans="1:61" ht="63.75" x14ac:dyDescent="0.25">
      <c r="A127" s="10">
        <v>122</v>
      </c>
      <c r="B127" s="11" t="s">
        <v>430</v>
      </c>
      <c r="C127" s="10" t="s">
        <v>431</v>
      </c>
      <c r="D127" s="11" t="s">
        <v>432</v>
      </c>
      <c r="E127" s="10" t="s">
        <v>433</v>
      </c>
      <c r="F127" s="10" t="s">
        <v>67</v>
      </c>
      <c r="G127" s="12"/>
      <c r="H127" s="12"/>
      <c r="I127" s="12"/>
      <c r="J127" s="12"/>
      <c r="K127" s="12"/>
      <c r="L127" s="12"/>
      <c r="M127" s="12"/>
      <c r="N127" s="12"/>
      <c r="O127" s="12"/>
      <c r="P127" s="12"/>
      <c r="Q127" s="12"/>
      <c r="R127" s="12"/>
      <c r="S127" s="12"/>
      <c r="T127" s="12"/>
      <c r="U127" s="12"/>
      <c r="V127" s="12"/>
      <c r="W127" s="12"/>
      <c r="X127" s="12"/>
      <c r="Y127" s="12"/>
      <c r="Z127" s="13">
        <v>30</v>
      </c>
      <c r="AA127" s="12"/>
      <c r="AB127" s="12"/>
      <c r="AC127" s="12"/>
      <c r="AD127" s="12"/>
      <c r="AE127" s="12"/>
      <c r="AF127" s="12"/>
      <c r="AG127" s="12"/>
      <c r="AH127" s="12"/>
      <c r="AI127" s="12"/>
      <c r="AJ127" s="12"/>
      <c r="AK127" s="12"/>
      <c r="AL127" s="13">
        <v>5</v>
      </c>
      <c r="AM127" s="12"/>
      <c r="AN127" s="12"/>
      <c r="AO127" s="13">
        <v>10</v>
      </c>
      <c r="AP127" s="12"/>
      <c r="AQ127" s="12"/>
      <c r="AR127" s="12"/>
      <c r="AS127" s="12"/>
      <c r="AT127" s="12"/>
      <c r="AU127" s="12"/>
      <c r="AV127" s="12"/>
      <c r="AW127" s="12"/>
      <c r="AX127" s="12"/>
      <c r="AY127" s="12"/>
      <c r="AZ127" s="12"/>
      <c r="BA127" s="12"/>
      <c r="BB127" s="12"/>
      <c r="BC127" s="13">
        <v>10</v>
      </c>
      <c r="BD127" s="12"/>
      <c r="BE127" s="12"/>
      <c r="BF127" s="12"/>
      <c r="BG127" s="12"/>
      <c r="BH127" s="13">
        <f t="shared" si="1"/>
        <v>55</v>
      </c>
      <c r="BI127" s="14">
        <f>BH127*146.58</f>
        <v>8061.9000000000005</v>
      </c>
    </row>
    <row r="128" spans="1:61" ht="63.75" x14ac:dyDescent="0.25">
      <c r="A128" s="10">
        <v>123</v>
      </c>
      <c r="B128" s="11" t="s">
        <v>434</v>
      </c>
      <c r="C128" s="10" t="s">
        <v>434</v>
      </c>
      <c r="D128" s="11" t="s">
        <v>435</v>
      </c>
      <c r="E128" s="10" t="s">
        <v>436</v>
      </c>
      <c r="F128" s="10" t="s">
        <v>67</v>
      </c>
      <c r="G128" s="12"/>
      <c r="H128" s="12"/>
      <c r="I128" s="12"/>
      <c r="J128" s="12"/>
      <c r="K128" s="12"/>
      <c r="L128" s="12"/>
      <c r="M128" s="12"/>
      <c r="N128" s="12"/>
      <c r="O128" s="12"/>
      <c r="P128" s="12"/>
      <c r="Q128" s="12"/>
      <c r="R128" s="12"/>
      <c r="S128" s="12"/>
      <c r="T128" s="12"/>
      <c r="U128" s="12"/>
      <c r="V128" s="12"/>
      <c r="W128" s="12"/>
      <c r="X128" s="12"/>
      <c r="Y128" s="13">
        <v>2</v>
      </c>
      <c r="Z128" s="12"/>
      <c r="AA128" s="12"/>
      <c r="AB128" s="12"/>
      <c r="AC128" s="12"/>
      <c r="AD128" s="12"/>
      <c r="AE128" s="13">
        <v>30</v>
      </c>
      <c r="AF128" s="12"/>
      <c r="AG128" s="13">
        <v>10</v>
      </c>
      <c r="AH128" s="12"/>
      <c r="AI128" s="12"/>
      <c r="AJ128" s="12"/>
      <c r="AK128" s="12"/>
      <c r="AL128" s="13">
        <v>3</v>
      </c>
      <c r="AM128" s="13">
        <v>2</v>
      </c>
      <c r="AN128" s="12"/>
      <c r="AO128" s="12"/>
      <c r="AP128" s="12"/>
      <c r="AQ128" s="12"/>
      <c r="AR128" s="12"/>
      <c r="AS128" s="12"/>
      <c r="AT128" s="12"/>
      <c r="AU128" s="13">
        <v>10</v>
      </c>
      <c r="AV128" s="12"/>
      <c r="AW128" s="12"/>
      <c r="AX128" s="12"/>
      <c r="AY128" s="12"/>
      <c r="AZ128" s="12"/>
      <c r="BA128" s="12"/>
      <c r="BB128" s="12"/>
      <c r="BC128" s="12"/>
      <c r="BD128" s="12"/>
      <c r="BE128" s="12"/>
      <c r="BF128" s="12"/>
      <c r="BG128" s="12"/>
      <c r="BH128" s="13">
        <f t="shared" si="1"/>
        <v>57</v>
      </c>
      <c r="BI128" s="14">
        <f>BH128*176.4</f>
        <v>10054.800000000001</v>
      </c>
    </row>
    <row r="129" spans="1:61" ht="63.75" x14ac:dyDescent="0.25">
      <c r="A129" s="10">
        <v>124</v>
      </c>
      <c r="B129" s="11" t="s">
        <v>437</v>
      </c>
      <c r="C129" s="10" t="s">
        <v>437</v>
      </c>
      <c r="D129" s="11" t="s">
        <v>438</v>
      </c>
      <c r="E129" s="10" t="s">
        <v>439</v>
      </c>
      <c r="F129" s="10" t="s">
        <v>67</v>
      </c>
      <c r="G129" s="12"/>
      <c r="H129" s="12"/>
      <c r="I129" s="12"/>
      <c r="J129" s="12"/>
      <c r="K129" s="12"/>
      <c r="L129" s="12"/>
      <c r="M129" s="12"/>
      <c r="N129" s="12"/>
      <c r="O129" s="12"/>
      <c r="P129" s="12"/>
      <c r="Q129" s="12"/>
      <c r="R129" s="12"/>
      <c r="S129" s="12"/>
      <c r="T129" s="12"/>
      <c r="U129" s="12"/>
      <c r="V129" s="12"/>
      <c r="W129" s="12"/>
      <c r="X129" s="13">
        <v>20</v>
      </c>
      <c r="Y129" s="13">
        <v>2</v>
      </c>
      <c r="Z129" s="12"/>
      <c r="AA129" s="12"/>
      <c r="AB129" s="12"/>
      <c r="AC129" s="12"/>
      <c r="AD129" s="12"/>
      <c r="AE129" s="12"/>
      <c r="AF129" s="12"/>
      <c r="AG129" s="12"/>
      <c r="AH129" s="13">
        <v>20</v>
      </c>
      <c r="AI129" s="12"/>
      <c r="AJ129" s="12"/>
      <c r="AK129" s="12"/>
      <c r="AL129" s="12"/>
      <c r="AM129" s="13">
        <v>2</v>
      </c>
      <c r="AN129" s="12"/>
      <c r="AO129" s="12"/>
      <c r="AP129" s="12"/>
      <c r="AQ129" s="12"/>
      <c r="AR129" s="12"/>
      <c r="AS129" s="12"/>
      <c r="AT129" s="12"/>
      <c r="AU129" s="13">
        <v>10</v>
      </c>
      <c r="AV129" s="12"/>
      <c r="AW129" s="12"/>
      <c r="AX129" s="12"/>
      <c r="AY129" s="12"/>
      <c r="AZ129" s="12"/>
      <c r="BA129" s="12"/>
      <c r="BB129" s="12"/>
      <c r="BC129" s="12"/>
      <c r="BD129" s="13">
        <v>10</v>
      </c>
      <c r="BE129" s="12"/>
      <c r="BF129" s="12"/>
      <c r="BG129" s="12"/>
      <c r="BH129" s="13">
        <f t="shared" si="1"/>
        <v>64</v>
      </c>
      <c r="BI129" s="14">
        <f>BH129*173.9159375</f>
        <v>11130.62</v>
      </c>
    </row>
    <row r="130" spans="1:61" ht="76.5" x14ac:dyDescent="0.25">
      <c r="A130" s="10">
        <v>125</v>
      </c>
      <c r="B130" s="11" t="s">
        <v>440</v>
      </c>
      <c r="C130" s="10" t="s">
        <v>440</v>
      </c>
      <c r="D130" s="11" t="s">
        <v>441</v>
      </c>
      <c r="E130" s="10" t="s">
        <v>442</v>
      </c>
      <c r="F130" s="10" t="s">
        <v>67</v>
      </c>
      <c r="G130" s="12"/>
      <c r="H130" s="12"/>
      <c r="I130" s="12"/>
      <c r="J130" s="12"/>
      <c r="K130" s="12"/>
      <c r="L130" s="12"/>
      <c r="M130" s="12"/>
      <c r="N130" s="12"/>
      <c r="O130" s="12"/>
      <c r="P130" s="12"/>
      <c r="Q130" s="12"/>
      <c r="R130" s="12"/>
      <c r="S130" s="12"/>
      <c r="T130" s="12"/>
      <c r="U130" s="12"/>
      <c r="V130" s="12"/>
      <c r="W130" s="12"/>
      <c r="X130" s="13">
        <v>30</v>
      </c>
      <c r="Y130" s="12"/>
      <c r="Z130" s="12"/>
      <c r="AA130" s="12"/>
      <c r="AB130" s="12"/>
      <c r="AC130" s="12"/>
      <c r="AD130" s="12"/>
      <c r="AE130" s="12"/>
      <c r="AF130" s="12"/>
      <c r="AG130" s="12"/>
      <c r="AH130" s="13">
        <v>55</v>
      </c>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3">
        <v>5</v>
      </c>
      <c r="BE130" s="12"/>
      <c r="BF130" s="12"/>
      <c r="BG130" s="12"/>
      <c r="BH130" s="13">
        <f t="shared" si="1"/>
        <v>90</v>
      </c>
      <c r="BI130" s="14">
        <f>BH130*994.8</f>
        <v>89532</v>
      </c>
    </row>
    <row r="131" spans="1:61" ht="51" x14ac:dyDescent="0.25">
      <c r="A131" s="10">
        <v>126</v>
      </c>
      <c r="B131" s="11" t="s">
        <v>443</v>
      </c>
      <c r="C131" s="10" t="s">
        <v>443</v>
      </c>
      <c r="D131" s="11" t="s">
        <v>444</v>
      </c>
      <c r="E131" s="10" t="s">
        <v>445</v>
      </c>
      <c r="F131" s="10" t="s">
        <v>67</v>
      </c>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3">
        <v>30</v>
      </c>
      <c r="AF131" s="12"/>
      <c r="AG131" s="12"/>
      <c r="AH131" s="13">
        <v>20</v>
      </c>
      <c r="AI131" s="12"/>
      <c r="AJ131" s="12"/>
      <c r="AK131" s="13">
        <v>2</v>
      </c>
      <c r="AL131" s="13">
        <v>3</v>
      </c>
      <c r="AM131" s="12"/>
      <c r="AN131" s="12"/>
      <c r="AO131" s="12"/>
      <c r="AP131" s="12"/>
      <c r="AQ131" s="12"/>
      <c r="AR131" s="12"/>
      <c r="AS131" s="12"/>
      <c r="AT131" s="12"/>
      <c r="AU131" s="12"/>
      <c r="AV131" s="12"/>
      <c r="AW131" s="12"/>
      <c r="AX131" s="12"/>
      <c r="AY131" s="12"/>
      <c r="AZ131" s="12"/>
      <c r="BA131" s="12"/>
      <c r="BB131" s="12"/>
      <c r="BC131" s="13">
        <v>2</v>
      </c>
      <c r="BD131" s="13">
        <v>2</v>
      </c>
      <c r="BE131" s="12"/>
      <c r="BF131" s="12"/>
      <c r="BG131" s="12"/>
      <c r="BH131" s="13">
        <f t="shared" si="1"/>
        <v>59</v>
      </c>
      <c r="BI131" s="14">
        <f>BH131*173.91593220339</f>
        <v>10261.04000000001</v>
      </c>
    </row>
    <row r="132" spans="1:61" ht="51" x14ac:dyDescent="0.25">
      <c r="A132" s="10">
        <v>127</v>
      </c>
      <c r="B132" s="11" t="s">
        <v>446</v>
      </c>
      <c r="C132" s="10" t="s">
        <v>446</v>
      </c>
      <c r="D132" s="11" t="s">
        <v>447</v>
      </c>
      <c r="E132" s="10" t="s">
        <v>448</v>
      </c>
      <c r="F132" s="10" t="s">
        <v>67</v>
      </c>
      <c r="G132" s="12"/>
      <c r="H132" s="12"/>
      <c r="I132" s="12"/>
      <c r="J132" s="12"/>
      <c r="K132" s="12"/>
      <c r="L132" s="12"/>
      <c r="M132" s="12"/>
      <c r="N132" s="12"/>
      <c r="O132" s="12"/>
      <c r="P132" s="12"/>
      <c r="Q132" s="12"/>
      <c r="R132" s="12"/>
      <c r="S132" s="12"/>
      <c r="T132" s="12"/>
      <c r="U132" s="12"/>
      <c r="V132" s="12"/>
      <c r="W132" s="12"/>
      <c r="X132" s="12"/>
      <c r="Y132" s="13">
        <v>2</v>
      </c>
      <c r="Z132" s="12"/>
      <c r="AA132" s="12"/>
      <c r="AB132" s="12"/>
      <c r="AC132" s="12"/>
      <c r="AD132" s="12"/>
      <c r="AE132" s="12"/>
      <c r="AF132" s="12"/>
      <c r="AG132" s="12"/>
      <c r="AH132" s="12"/>
      <c r="AI132" s="12"/>
      <c r="AJ132" s="12"/>
      <c r="AK132" s="12"/>
      <c r="AL132" s="13">
        <v>2</v>
      </c>
      <c r="AM132" s="13">
        <v>2</v>
      </c>
      <c r="AN132" s="12"/>
      <c r="AO132" s="12"/>
      <c r="AP132" s="12"/>
      <c r="AQ132" s="12"/>
      <c r="AR132" s="12"/>
      <c r="AS132" s="12"/>
      <c r="AT132" s="12"/>
      <c r="AU132" s="12"/>
      <c r="AV132" s="12"/>
      <c r="AW132" s="12"/>
      <c r="AX132" s="12"/>
      <c r="AY132" s="12"/>
      <c r="AZ132" s="12"/>
      <c r="BA132" s="12"/>
      <c r="BB132" s="12"/>
      <c r="BC132" s="12"/>
      <c r="BD132" s="13">
        <v>10</v>
      </c>
      <c r="BE132" s="12"/>
      <c r="BF132" s="12"/>
      <c r="BG132" s="12"/>
      <c r="BH132" s="13">
        <f t="shared" si="1"/>
        <v>16</v>
      </c>
      <c r="BI132" s="14">
        <f>BH132*222</f>
        <v>3552</v>
      </c>
    </row>
    <row r="133" spans="1:61" ht="38.25" x14ac:dyDescent="0.25">
      <c r="A133" s="10">
        <v>128</v>
      </c>
      <c r="B133" s="11" t="s">
        <v>449</v>
      </c>
      <c r="C133" s="10" t="s">
        <v>449</v>
      </c>
      <c r="D133" s="11" t="s">
        <v>450</v>
      </c>
      <c r="E133" s="10" t="s">
        <v>451</v>
      </c>
      <c r="F133" s="10" t="s">
        <v>67</v>
      </c>
      <c r="G133" s="12"/>
      <c r="H133" s="12"/>
      <c r="I133" s="12"/>
      <c r="J133" s="12"/>
      <c r="K133" s="12"/>
      <c r="L133" s="12"/>
      <c r="M133" s="12"/>
      <c r="N133" s="12"/>
      <c r="O133" s="12"/>
      <c r="P133" s="12"/>
      <c r="Q133" s="12"/>
      <c r="R133" s="12"/>
      <c r="S133" s="12"/>
      <c r="T133" s="12"/>
      <c r="U133" s="12"/>
      <c r="V133" s="12"/>
      <c r="W133" s="12"/>
      <c r="X133" s="12"/>
      <c r="Y133" s="13">
        <v>1</v>
      </c>
      <c r="Z133" s="12"/>
      <c r="AA133" s="12"/>
      <c r="AB133" s="12"/>
      <c r="AC133" s="12"/>
      <c r="AD133" s="12"/>
      <c r="AE133" s="12"/>
      <c r="AF133" s="12"/>
      <c r="AG133" s="12"/>
      <c r="AH133" s="13">
        <v>1</v>
      </c>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3">
        <f t="shared" si="1"/>
        <v>2</v>
      </c>
      <c r="BI133" s="14">
        <f>BH133*779.015</f>
        <v>1558.03</v>
      </c>
    </row>
    <row r="134" spans="1:61" ht="38.25" x14ac:dyDescent="0.25">
      <c r="A134" s="10">
        <v>129</v>
      </c>
      <c r="B134" s="11" t="s">
        <v>452</v>
      </c>
      <c r="C134" s="10" t="s">
        <v>452</v>
      </c>
      <c r="D134" s="11" t="s">
        <v>453</v>
      </c>
      <c r="E134" s="10" t="s">
        <v>454</v>
      </c>
      <c r="F134" s="10" t="s">
        <v>67</v>
      </c>
      <c r="G134" s="12"/>
      <c r="H134" s="12"/>
      <c r="I134" s="12"/>
      <c r="J134" s="12"/>
      <c r="K134" s="12"/>
      <c r="L134" s="12"/>
      <c r="M134" s="12"/>
      <c r="N134" s="12"/>
      <c r="O134" s="12"/>
      <c r="P134" s="12"/>
      <c r="Q134" s="12"/>
      <c r="R134" s="12"/>
      <c r="S134" s="12"/>
      <c r="T134" s="12"/>
      <c r="U134" s="12"/>
      <c r="V134" s="12"/>
      <c r="W134" s="12"/>
      <c r="X134" s="12"/>
      <c r="Y134" s="13">
        <v>1</v>
      </c>
      <c r="Z134" s="13">
        <v>4</v>
      </c>
      <c r="AA134" s="12"/>
      <c r="AB134" s="12"/>
      <c r="AC134" s="12"/>
      <c r="AD134" s="12"/>
      <c r="AE134" s="12"/>
      <c r="AF134" s="12"/>
      <c r="AG134" s="12"/>
      <c r="AH134" s="13">
        <v>1</v>
      </c>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3">
        <f t="shared" ref="BH134:BH197" si="2">SUM(G134:BG134)</f>
        <v>6</v>
      </c>
      <c r="BI134" s="14">
        <f>BH134*1151.11166666667</f>
        <v>6906.6700000000201</v>
      </c>
    </row>
    <row r="135" spans="1:61" ht="51" x14ac:dyDescent="0.25">
      <c r="A135" s="10">
        <v>130</v>
      </c>
      <c r="B135" s="11" t="s">
        <v>455</v>
      </c>
      <c r="C135" s="10" t="s">
        <v>455</v>
      </c>
      <c r="D135" s="11" t="s">
        <v>456</v>
      </c>
      <c r="E135" s="10" t="s">
        <v>457</v>
      </c>
      <c r="F135" s="10" t="s">
        <v>67</v>
      </c>
      <c r="G135" s="12"/>
      <c r="H135" s="12"/>
      <c r="I135" s="12"/>
      <c r="J135" s="12"/>
      <c r="K135" s="12"/>
      <c r="L135" s="12"/>
      <c r="M135" s="12"/>
      <c r="N135" s="12"/>
      <c r="O135" s="12"/>
      <c r="P135" s="12"/>
      <c r="Q135" s="12"/>
      <c r="R135" s="12"/>
      <c r="S135" s="12"/>
      <c r="T135" s="12"/>
      <c r="U135" s="12"/>
      <c r="V135" s="12"/>
      <c r="W135" s="12"/>
      <c r="X135" s="12"/>
      <c r="Y135" s="13">
        <v>1</v>
      </c>
      <c r="Z135" s="12"/>
      <c r="AA135" s="12"/>
      <c r="AB135" s="12"/>
      <c r="AC135" s="12"/>
      <c r="AD135" s="12"/>
      <c r="AE135" s="12"/>
      <c r="AF135" s="12"/>
      <c r="AG135" s="12"/>
      <c r="AH135" s="13">
        <v>2</v>
      </c>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3">
        <f t="shared" si="2"/>
        <v>3</v>
      </c>
      <c r="BI135" s="14">
        <f>BH135*1404</f>
        <v>4212</v>
      </c>
    </row>
    <row r="136" spans="1:61" ht="76.5" x14ac:dyDescent="0.25">
      <c r="A136" s="10">
        <v>131</v>
      </c>
      <c r="B136" s="11" t="s">
        <v>458</v>
      </c>
      <c r="C136" s="10" t="s">
        <v>458</v>
      </c>
      <c r="D136" s="11" t="s">
        <v>459</v>
      </c>
      <c r="E136" s="10" t="s">
        <v>460</v>
      </c>
      <c r="F136" s="10" t="s">
        <v>67</v>
      </c>
      <c r="G136" s="12"/>
      <c r="H136" s="12"/>
      <c r="I136" s="12"/>
      <c r="J136" s="12"/>
      <c r="K136" s="12"/>
      <c r="L136" s="12"/>
      <c r="M136" s="12"/>
      <c r="N136" s="12"/>
      <c r="O136" s="12"/>
      <c r="P136" s="12"/>
      <c r="Q136" s="12"/>
      <c r="R136" s="12"/>
      <c r="S136" s="12"/>
      <c r="T136" s="12"/>
      <c r="U136" s="12"/>
      <c r="V136" s="12"/>
      <c r="W136" s="12"/>
      <c r="X136" s="12"/>
      <c r="Y136" s="12"/>
      <c r="Z136" s="13">
        <v>4</v>
      </c>
      <c r="AA136" s="12"/>
      <c r="AB136" s="12"/>
      <c r="AC136" s="12"/>
      <c r="AD136" s="12"/>
      <c r="AE136" s="12"/>
      <c r="AF136" s="12"/>
      <c r="AG136" s="13">
        <v>2</v>
      </c>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3">
        <f t="shared" si="2"/>
        <v>6</v>
      </c>
      <c r="BI136" s="14">
        <f>BH136*7074</f>
        <v>42444</v>
      </c>
    </row>
    <row r="137" spans="1:61" ht="76.5" x14ac:dyDescent="0.25">
      <c r="A137" s="10">
        <v>132</v>
      </c>
      <c r="B137" s="11" t="s">
        <v>461</v>
      </c>
      <c r="C137" s="10" t="s">
        <v>461</v>
      </c>
      <c r="D137" s="11" t="s">
        <v>462</v>
      </c>
      <c r="E137" s="10" t="s">
        <v>463</v>
      </c>
      <c r="F137" s="10" t="s">
        <v>67</v>
      </c>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3">
        <v>2</v>
      </c>
      <c r="AH137" s="13">
        <v>16</v>
      </c>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3">
        <f t="shared" si="2"/>
        <v>18</v>
      </c>
      <c r="BI137" s="14">
        <f>BH137*5143.08</f>
        <v>92575.44</v>
      </c>
    </row>
    <row r="138" spans="1:61" ht="76.5" x14ac:dyDescent="0.25">
      <c r="A138" s="10">
        <v>133</v>
      </c>
      <c r="B138" s="11" t="s">
        <v>464</v>
      </c>
      <c r="C138" s="10" t="s">
        <v>464</v>
      </c>
      <c r="D138" s="11" t="s">
        <v>465</v>
      </c>
      <c r="E138" s="10" t="s">
        <v>466</v>
      </c>
      <c r="F138" s="10" t="s">
        <v>67</v>
      </c>
      <c r="G138" s="12"/>
      <c r="H138" s="12"/>
      <c r="I138" s="12"/>
      <c r="J138" s="12"/>
      <c r="K138" s="12"/>
      <c r="L138" s="12"/>
      <c r="M138" s="12"/>
      <c r="N138" s="12"/>
      <c r="O138" s="12"/>
      <c r="P138" s="12"/>
      <c r="Q138" s="12"/>
      <c r="R138" s="12"/>
      <c r="S138" s="12"/>
      <c r="T138" s="12"/>
      <c r="U138" s="12"/>
      <c r="V138" s="12"/>
      <c r="W138" s="12"/>
      <c r="X138" s="12"/>
      <c r="Y138" s="12"/>
      <c r="Z138" s="13">
        <v>4</v>
      </c>
      <c r="AA138" s="12"/>
      <c r="AB138" s="12"/>
      <c r="AC138" s="12"/>
      <c r="AD138" s="12"/>
      <c r="AE138" s="12"/>
      <c r="AF138" s="12"/>
      <c r="AG138" s="13">
        <v>2</v>
      </c>
      <c r="AH138" s="13">
        <v>59</v>
      </c>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3">
        <f t="shared" si="2"/>
        <v>65</v>
      </c>
      <c r="BI138" s="14">
        <f>BH138*4985.91</f>
        <v>324084.14999999997</v>
      </c>
    </row>
    <row r="139" spans="1:61" ht="76.5" x14ac:dyDescent="0.25">
      <c r="A139" s="10">
        <v>134</v>
      </c>
      <c r="B139" s="11" t="s">
        <v>467</v>
      </c>
      <c r="C139" s="10" t="s">
        <v>467</v>
      </c>
      <c r="D139" s="11" t="s">
        <v>468</v>
      </c>
      <c r="E139" s="10" t="s">
        <v>469</v>
      </c>
      <c r="F139" s="10" t="s">
        <v>67</v>
      </c>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3">
        <v>2</v>
      </c>
      <c r="AH139" s="13">
        <v>12</v>
      </c>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3">
        <f t="shared" si="2"/>
        <v>14</v>
      </c>
      <c r="BI139" s="14">
        <f>BH139*6000</f>
        <v>84000</v>
      </c>
    </row>
    <row r="140" spans="1:61" ht="63.75" x14ac:dyDescent="0.25">
      <c r="A140" s="10">
        <v>135</v>
      </c>
      <c r="B140" s="11" t="s">
        <v>470</v>
      </c>
      <c r="C140" s="16" t="s">
        <v>471</v>
      </c>
      <c r="D140" s="11" t="s">
        <v>472</v>
      </c>
      <c r="E140" s="18" t="s">
        <v>473</v>
      </c>
      <c r="F140" s="10" t="s">
        <v>67</v>
      </c>
      <c r="G140" s="12"/>
      <c r="H140" s="12"/>
      <c r="I140" s="12"/>
      <c r="J140" s="12"/>
      <c r="K140" s="12"/>
      <c r="L140" s="12"/>
      <c r="M140" s="12"/>
      <c r="N140" s="12"/>
      <c r="O140" s="12"/>
      <c r="P140" s="12"/>
      <c r="Q140" s="12"/>
      <c r="R140" s="12"/>
      <c r="S140" s="12"/>
      <c r="T140" s="12"/>
      <c r="U140" s="12"/>
      <c r="V140" s="12"/>
      <c r="W140" s="12"/>
      <c r="X140" s="12"/>
      <c r="Y140" s="13">
        <v>1</v>
      </c>
      <c r="Z140" s="12"/>
      <c r="AA140" s="12"/>
      <c r="AB140" s="12"/>
      <c r="AC140" s="12"/>
      <c r="AD140" s="12"/>
      <c r="AE140" s="12"/>
      <c r="AF140" s="12"/>
      <c r="AG140" s="13">
        <v>2</v>
      </c>
      <c r="AH140" s="12"/>
      <c r="AI140" s="13">
        <v>2</v>
      </c>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3">
        <f t="shared" si="2"/>
        <v>5</v>
      </c>
      <c r="BI140" s="14">
        <f>BH140*13394.4</f>
        <v>66972</v>
      </c>
    </row>
    <row r="141" spans="1:61" ht="63.75" x14ac:dyDescent="0.25">
      <c r="A141" s="10">
        <v>136</v>
      </c>
      <c r="B141" s="11" t="s">
        <v>474</v>
      </c>
      <c r="C141" s="16" t="s">
        <v>475</v>
      </c>
      <c r="D141" s="11" t="s">
        <v>476</v>
      </c>
      <c r="E141" s="18" t="s">
        <v>477</v>
      </c>
      <c r="F141" s="10" t="s">
        <v>67</v>
      </c>
      <c r="G141" s="12"/>
      <c r="H141" s="12"/>
      <c r="I141" s="12"/>
      <c r="J141" s="12"/>
      <c r="K141" s="12"/>
      <c r="L141" s="12"/>
      <c r="M141" s="12"/>
      <c r="N141" s="12"/>
      <c r="O141" s="12"/>
      <c r="P141" s="12"/>
      <c r="Q141" s="12"/>
      <c r="R141" s="12"/>
      <c r="S141" s="12"/>
      <c r="T141" s="12"/>
      <c r="U141" s="12"/>
      <c r="V141" s="12"/>
      <c r="W141" s="12"/>
      <c r="X141" s="12"/>
      <c r="Y141" s="12"/>
      <c r="Z141" s="13">
        <v>1</v>
      </c>
      <c r="AA141" s="12"/>
      <c r="AB141" s="12"/>
      <c r="AC141" s="13">
        <v>3</v>
      </c>
      <c r="AD141" s="12"/>
      <c r="AE141" s="12"/>
      <c r="AF141" s="12"/>
      <c r="AG141" s="13">
        <v>2</v>
      </c>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3">
        <f t="shared" si="2"/>
        <v>6</v>
      </c>
      <c r="BI141" s="14">
        <f>BH141*13394.4</f>
        <v>80366.399999999994</v>
      </c>
    </row>
    <row r="142" spans="1:61" ht="89.25" x14ac:dyDescent="0.25">
      <c r="A142" s="10">
        <v>137</v>
      </c>
      <c r="B142" s="11" t="s">
        <v>478</v>
      </c>
      <c r="C142" s="10" t="s">
        <v>478</v>
      </c>
      <c r="D142" s="11" t="s">
        <v>479</v>
      </c>
      <c r="E142" s="10" t="s">
        <v>480</v>
      </c>
      <c r="F142" s="10" t="s">
        <v>67</v>
      </c>
      <c r="G142" s="12"/>
      <c r="H142" s="12"/>
      <c r="I142" s="12"/>
      <c r="J142" s="12"/>
      <c r="K142" s="12"/>
      <c r="L142" s="12"/>
      <c r="M142" s="12"/>
      <c r="N142" s="12"/>
      <c r="O142" s="12"/>
      <c r="P142" s="12"/>
      <c r="Q142" s="12"/>
      <c r="R142" s="12"/>
      <c r="S142" s="12"/>
      <c r="T142" s="12"/>
      <c r="U142" s="12"/>
      <c r="V142" s="12"/>
      <c r="W142" s="12"/>
      <c r="X142" s="12"/>
      <c r="Y142" s="13">
        <v>1</v>
      </c>
      <c r="Z142" s="13">
        <v>4</v>
      </c>
      <c r="AA142" s="12"/>
      <c r="AB142" s="12"/>
      <c r="AC142" s="13">
        <v>3</v>
      </c>
      <c r="AD142" s="12"/>
      <c r="AE142" s="12"/>
      <c r="AF142" s="12"/>
      <c r="AG142" s="13">
        <v>2</v>
      </c>
      <c r="AH142" s="13">
        <v>23</v>
      </c>
      <c r="AI142" s="13">
        <v>2</v>
      </c>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3">
        <f t="shared" si="2"/>
        <v>35</v>
      </c>
      <c r="BI142" s="14">
        <f>BH142*11212.932</f>
        <v>392452.62</v>
      </c>
    </row>
    <row r="143" spans="1:61" ht="51" x14ac:dyDescent="0.25">
      <c r="A143" s="10">
        <v>138</v>
      </c>
      <c r="B143" s="11" t="s">
        <v>481</v>
      </c>
      <c r="C143" s="10" t="s">
        <v>481</v>
      </c>
      <c r="D143" s="11" t="s">
        <v>482</v>
      </c>
      <c r="E143" s="10" t="s">
        <v>483</v>
      </c>
      <c r="F143" s="10" t="s">
        <v>67</v>
      </c>
      <c r="G143" s="12"/>
      <c r="H143" s="12"/>
      <c r="I143" s="12"/>
      <c r="J143" s="12"/>
      <c r="K143" s="12"/>
      <c r="L143" s="12"/>
      <c r="M143" s="12"/>
      <c r="N143" s="12"/>
      <c r="O143" s="12"/>
      <c r="P143" s="12"/>
      <c r="Q143" s="12"/>
      <c r="R143" s="12"/>
      <c r="S143" s="12"/>
      <c r="T143" s="12"/>
      <c r="U143" s="12"/>
      <c r="V143" s="12"/>
      <c r="W143" s="12"/>
      <c r="X143" s="12"/>
      <c r="Y143" s="13">
        <v>1</v>
      </c>
      <c r="Z143" s="12"/>
      <c r="AA143" s="12"/>
      <c r="AB143" s="12"/>
      <c r="AC143" s="13">
        <v>6</v>
      </c>
      <c r="AD143" s="12"/>
      <c r="AE143" s="12"/>
      <c r="AF143" s="12"/>
      <c r="AG143" s="13">
        <v>2</v>
      </c>
      <c r="AH143" s="13">
        <v>5</v>
      </c>
      <c r="AI143" s="12"/>
      <c r="AJ143" s="12"/>
      <c r="AK143" s="12"/>
      <c r="AL143" s="12"/>
      <c r="AM143" s="12"/>
      <c r="AN143" s="12"/>
      <c r="AO143" s="12"/>
      <c r="AP143" s="13">
        <v>1</v>
      </c>
      <c r="AQ143" s="12"/>
      <c r="AR143" s="12"/>
      <c r="AS143" s="12"/>
      <c r="AT143" s="12"/>
      <c r="AU143" s="12"/>
      <c r="AV143" s="12"/>
      <c r="AW143" s="12"/>
      <c r="AX143" s="12"/>
      <c r="AY143" s="12"/>
      <c r="AZ143" s="12"/>
      <c r="BA143" s="12"/>
      <c r="BB143" s="12"/>
      <c r="BC143" s="12"/>
      <c r="BD143" s="12"/>
      <c r="BE143" s="12"/>
      <c r="BF143" s="12"/>
      <c r="BG143" s="12"/>
      <c r="BH143" s="13">
        <f t="shared" si="2"/>
        <v>15</v>
      </c>
      <c r="BI143" s="14">
        <f>BH143*1783.2</f>
        <v>26748</v>
      </c>
    </row>
    <row r="144" spans="1:61" ht="38.25" x14ac:dyDescent="0.25">
      <c r="A144" s="10">
        <v>139</v>
      </c>
      <c r="B144" s="11" t="s">
        <v>484</v>
      </c>
      <c r="C144" s="10" t="s">
        <v>484</v>
      </c>
      <c r="D144" s="11" t="s">
        <v>485</v>
      </c>
      <c r="E144" s="10" t="s">
        <v>486</v>
      </c>
      <c r="F144" s="10" t="s">
        <v>67</v>
      </c>
      <c r="G144" s="12"/>
      <c r="H144" s="12"/>
      <c r="I144" s="12"/>
      <c r="J144" s="12"/>
      <c r="K144" s="12"/>
      <c r="L144" s="12"/>
      <c r="M144" s="12"/>
      <c r="N144" s="12"/>
      <c r="O144" s="12"/>
      <c r="P144" s="12"/>
      <c r="Q144" s="12"/>
      <c r="R144" s="12"/>
      <c r="S144" s="12"/>
      <c r="T144" s="12"/>
      <c r="U144" s="12"/>
      <c r="V144" s="12"/>
      <c r="W144" s="12"/>
      <c r="X144" s="12"/>
      <c r="Y144" s="13">
        <v>1</v>
      </c>
      <c r="Z144" s="13">
        <v>2</v>
      </c>
      <c r="AA144" s="12"/>
      <c r="AB144" s="12"/>
      <c r="AC144" s="12"/>
      <c r="AD144" s="12"/>
      <c r="AE144" s="12"/>
      <c r="AF144" s="12"/>
      <c r="AG144" s="13">
        <v>2</v>
      </c>
      <c r="AH144" s="13">
        <v>12</v>
      </c>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3">
        <f t="shared" si="2"/>
        <v>17</v>
      </c>
      <c r="BI144" s="14">
        <f>BH144*10176</f>
        <v>172992</v>
      </c>
    </row>
    <row r="145" spans="1:61" ht="38.25" x14ac:dyDescent="0.25">
      <c r="A145" s="10">
        <v>140</v>
      </c>
      <c r="B145" s="11" t="s">
        <v>487</v>
      </c>
      <c r="C145" s="10" t="s">
        <v>487</v>
      </c>
      <c r="D145" s="11" t="s">
        <v>488</v>
      </c>
      <c r="E145" s="10" t="s">
        <v>489</v>
      </c>
      <c r="F145" s="10" t="s">
        <v>67</v>
      </c>
      <c r="G145" s="12"/>
      <c r="H145" s="12"/>
      <c r="I145" s="12"/>
      <c r="J145" s="12"/>
      <c r="K145" s="12"/>
      <c r="L145" s="12"/>
      <c r="M145" s="12"/>
      <c r="N145" s="12"/>
      <c r="O145" s="12"/>
      <c r="P145" s="12"/>
      <c r="Q145" s="12"/>
      <c r="R145" s="12"/>
      <c r="S145" s="12"/>
      <c r="T145" s="12"/>
      <c r="U145" s="12"/>
      <c r="V145" s="12"/>
      <c r="W145" s="12"/>
      <c r="X145" s="12"/>
      <c r="Y145" s="13">
        <v>1</v>
      </c>
      <c r="Z145" s="12"/>
      <c r="AA145" s="12"/>
      <c r="AB145" s="12"/>
      <c r="AC145" s="13">
        <v>3</v>
      </c>
      <c r="AD145" s="12"/>
      <c r="AE145" s="12"/>
      <c r="AF145" s="12"/>
      <c r="AG145" s="13">
        <v>2</v>
      </c>
      <c r="AH145" s="13">
        <v>14</v>
      </c>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3">
        <f t="shared" si="2"/>
        <v>20</v>
      </c>
      <c r="BI145" s="14">
        <f>BH145*10176</f>
        <v>203520</v>
      </c>
    </row>
    <row r="146" spans="1:61" ht="25.5" x14ac:dyDescent="0.25">
      <c r="A146" s="10">
        <v>141</v>
      </c>
      <c r="B146" s="11" t="s">
        <v>490</v>
      </c>
      <c r="C146" s="10" t="s">
        <v>490</v>
      </c>
      <c r="D146" s="11" t="s">
        <v>491</v>
      </c>
      <c r="E146" s="10" t="s">
        <v>492</v>
      </c>
      <c r="F146" s="10" t="s">
        <v>67</v>
      </c>
      <c r="G146" s="12"/>
      <c r="H146" s="12"/>
      <c r="I146" s="12"/>
      <c r="J146" s="12"/>
      <c r="K146" s="12"/>
      <c r="L146" s="12"/>
      <c r="M146" s="12"/>
      <c r="N146" s="12"/>
      <c r="O146" s="12"/>
      <c r="P146" s="12"/>
      <c r="Q146" s="12"/>
      <c r="R146" s="12"/>
      <c r="S146" s="12"/>
      <c r="T146" s="12"/>
      <c r="U146" s="12"/>
      <c r="V146" s="12"/>
      <c r="W146" s="12"/>
      <c r="X146" s="12"/>
      <c r="Y146" s="12"/>
      <c r="Z146" s="13">
        <v>2</v>
      </c>
      <c r="AA146" s="12"/>
      <c r="AB146" s="12"/>
      <c r="AC146" s="13">
        <v>6</v>
      </c>
      <c r="AD146" s="12"/>
      <c r="AE146" s="12"/>
      <c r="AF146" s="12"/>
      <c r="AG146" s="13">
        <v>2</v>
      </c>
      <c r="AH146" s="13">
        <v>6</v>
      </c>
      <c r="AI146" s="12"/>
      <c r="AJ146" s="12"/>
      <c r="AK146" s="12"/>
      <c r="AL146" s="12"/>
      <c r="AM146" s="12"/>
      <c r="AN146" s="12"/>
      <c r="AO146" s="12"/>
      <c r="AP146" s="13">
        <v>1</v>
      </c>
      <c r="AQ146" s="12"/>
      <c r="AR146" s="12"/>
      <c r="AS146" s="12"/>
      <c r="AT146" s="12"/>
      <c r="AU146" s="12"/>
      <c r="AV146" s="12"/>
      <c r="AW146" s="12"/>
      <c r="AX146" s="12"/>
      <c r="AY146" s="12"/>
      <c r="AZ146" s="12"/>
      <c r="BA146" s="12"/>
      <c r="BB146" s="12"/>
      <c r="BC146" s="12"/>
      <c r="BD146" s="12"/>
      <c r="BE146" s="12"/>
      <c r="BF146" s="12"/>
      <c r="BG146" s="12"/>
      <c r="BH146" s="13">
        <f t="shared" si="2"/>
        <v>17</v>
      </c>
      <c r="BI146" s="14">
        <f>BH146*2000.00411764706</f>
        <v>34000.070000000022</v>
      </c>
    </row>
    <row r="147" spans="1:61" ht="51" x14ac:dyDescent="0.25">
      <c r="A147" s="10">
        <v>142</v>
      </c>
      <c r="B147" s="11" t="s">
        <v>493</v>
      </c>
      <c r="C147" s="10" t="s">
        <v>493</v>
      </c>
      <c r="D147" s="11" t="s">
        <v>494</v>
      </c>
      <c r="E147" s="10" t="s">
        <v>495</v>
      </c>
      <c r="F147" s="10" t="s">
        <v>67</v>
      </c>
      <c r="G147" s="12"/>
      <c r="H147" s="12"/>
      <c r="I147" s="12"/>
      <c r="J147" s="12"/>
      <c r="K147" s="12"/>
      <c r="L147" s="12"/>
      <c r="M147" s="12"/>
      <c r="N147" s="12"/>
      <c r="O147" s="12"/>
      <c r="P147" s="12"/>
      <c r="Q147" s="12"/>
      <c r="R147" s="12"/>
      <c r="S147" s="12"/>
      <c r="T147" s="12"/>
      <c r="U147" s="12"/>
      <c r="V147" s="12"/>
      <c r="W147" s="12"/>
      <c r="X147" s="12"/>
      <c r="Y147" s="12"/>
      <c r="Z147" s="12"/>
      <c r="AA147" s="12"/>
      <c r="AB147" s="12"/>
      <c r="AC147" s="13">
        <v>2</v>
      </c>
      <c r="AD147" s="12"/>
      <c r="AE147" s="12"/>
      <c r="AF147" s="12"/>
      <c r="AG147" s="13">
        <v>2</v>
      </c>
      <c r="AH147" s="13">
        <v>31</v>
      </c>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3">
        <f t="shared" si="2"/>
        <v>35</v>
      </c>
      <c r="BI147" s="14">
        <f>BH147*2858.4</f>
        <v>100044</v>
      </c>
    </row>
    <row r="148" spans="1:61" ht="51" x14ac:dyDescent="0.25">
      <c r="A148" s="10">
        <v>143</v>
      </c>
      <c r="B148" s="11" t="s">
        <v>496</v>
      </c>
      <c r="C148" s="10" t="s">
        <v>496</v>
      </c>
      <c r="D148" s="11" t="s">
        <v>497</v>
      </c>
      <c r="E148" s="10" t="s">
        <v>498</v>
      </c>
      <c r="F148" s="10" t="s">
        <v>67</v>
      </c>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3">
        <v>2</v>
      </c>
      <c r="AH148" s="13">
        <v>9</v>
      </c>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3">
        <f t="shared" si="2"/>
        <v>11</v>
      </c>
      <c r="BI148" s="14">
        <f>BH148*5228.4</f>
        <v>57512.399999999994</v>
      </c>
    </row>
    <row r="149" spans="1:61" ht="63.75" x14ac:dyDescent="0.25">
      <c r="A149" s="10">
        <v>144</v>
      </c>
      <c r="B149" s="11" t="s">
        <v>499</v>
      </c>
      <c r="C149" s="10" t="s">
        <v>499</v>
      </c>
      <c r="D149" s="11" t="s">
        <v>500</v>
      </c>
      <c r="E149" s="10" t="s">
        <v>501</v>
      </c>
      <c r="F149" s="10" t="s">
        <v>67</v>
      </c>
      <c r="G149" s="12"/>
      <c r="H149" s="12"/>
      <c r="I149" s="12"/>
      <c r="J149" s="12"/>
      <c r="K149" s="12"/>
      <c r="L149" s="12"/>
      <c r="M149" s="12"/>
      <c r="N149" s="12"/>
      <c r="O149" s="12"/>
      <c r="P149" s="12"/>
      <c r="Q149" s="12"/>
      <c r="R149" s="12"/>
      <c r="S149" s="12"/>
      <c r="T149" s="12"/>
      <c r="U149" s="12"/>
      <c r="V149" s="12"/>
      <c r="W149" s="12"/>
      <c r="X149" s="12"/>
      <c r="Y149" s="12"/>
      <c r="Z149" s="12"/>
      <c r="AA149" s="12"/>
      <c r="AB149" s="12"/>
      <c r="AC149" s="13">
        <v>2</v>
      </c>
      <c r="AD149" s="12"/>
      <c r="AE149" s="12"/>
      <c r="AF149" s="12"/>
      <c r="AG149" s="13">
        <v>2</v>
      </c>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3">
        <f t="shared" si="2"/>
        <v>4</v>
      </c>
      <c r="BI149" s="14">
        <f>BH149*2522.4</f>
        <v>10089.6</v>
      </c>
    </row>
    <row r="150" spans="1:61" ht="51" x14ac:dyDescent="0.25">
      <c r="A150" s="10">
        <v>145</v>
      </c>
      <c r="B150" s="11" t="s">
        <v>502</v>
      </c>
      <c r="C150" s="10" t="s">
        <v>502</v>
      </c>
      <c r="D150" s="11" t="s">
        <v>503</v>
      </c>
      <c r="E150" s="10" t="s">
        <v>504</v>
      </c>
      <c r="F150" s="10" t="s">
        <v>67</v>
      </c>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3">
        <v>2</v>
      </c>
      <c r="AH150" s="13">
        <v>3</v>
      </c>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3">
        <f t="shared" si="2"/>
        <v>5</v>
      </c>
      <c r="BI150" s="14">
        <f>BH150*4882.8</f>
        <v>24414</v>
      </c>
    </row>
    <row r="151" spans="1:61" ht="153" x14ac:dyDescent="0.25">
      <c r="A151" s="10">
        <v>146</v>
      </c>
      <c r="B151" s="11" t="s">
        <v>505</v>
      </c>
      <c r="C151" s="10" t="s">
        <v>505</v>
      </c>
      <c r="D151" s="11" t="s">
        <v>506</v>
      </c>
      <c r="E151" s="10" t="s">
        <v>507</v>
      </c>
      <c r="F151" s="10" t="s">
        <v>67</v>
      </c>
      <c r="G151" s="12"/>
      <c r="H151" s="12"/>
      <c r="I151" s="12"/>
      <c r="J151" s="12"/>
      <c r="K151" s="12"/>
      <c r="L151" s="12"/>
      <c r="M151" s="12"/>
      <c r="N151" s="12"/>
      <c r="O151" s="12"/>
      <c r="P151" s="12"/>
      <c r="Q151" s="12"/>
      <c r="R151" s="12"/>
      <c r="S151" s="12"/>
      <c r="T151" s="12"/>
      <c r="U151" s="12"/>
      <c r="V151" s="12"/>
      <c r="W151" s="12"/>
      <c r="X151" s="12"/>
      <c r="Y151" s="12"/>
      <c r="Z151" s="12"/>
      <c r="AA151" s="12"/>
      <c r="AB151" s="12"/>
      <c r="AC151" s="13">
        <v>6</v>
      </c>
      <c r="AD151" s="12"/>
      <c r="AE151" s="12"/>
      <c r="AF151" s="12"/>
      <c r="AG151" s="12"/>
      <c r="AH151" s="12"/>
      <c r="AI151" s="12"/>
      <c r="AJ151" s="12"/>
      <c r="AK151" s="12"/>
      <c r="AL151" s="13">
        <v>1</v>
      </c>
      <c r="AM151" s="12"/>
      <c r="AN151" s="12"/>
      <c r="AO151" s="12"/>
      <c r="AP151" s="12"/>
      <c r="AQ151" s="12"/>
      <c r="AR151" s="13">
        <v>5</v>
      </c>
      <c r="AS151" s="13">
        <v>1</v>
      </c>
      <c r="AT151" s="12"/>
      <c r="AU151" s="12"/>
      <c r="AV151" s="12"/>
      <c r="AW151" s="12"/>
      <c r="AX151" s="12"/>
      <c r="AY151" s="12"/>
      <c r="AZ151" s="12"/>
      <c r="BA151" s="12"/>
      <c r="BB151" s="12"/>
      <c r="BC151" s="12"/>
      <c r="BD151" s="13">
        <v>5</v>
      </c>
      <c r="BE151" s="12"/>
      <c r="BF151" s="12"/>
      <c r="BG151" s="12"/>
      <c r="BH151" s="13">
        <f t="shared" si="2"/>
        <v>18</v>
      </c>
      <c r="BI151" s="14">
        <f>BH151*192</f>
        <v>3456</v>
      </c>
    </row>
    <row r="152" spans="1:61" ht="153" x14ac:dyDescent="0.25">
      <c r="A152" s="10">
        <v>147</v>
      </c>
      <c r="B152" s="11" t="s">
        <v>508</v>
      </c>
      <c r="C152" s="10" t="s">
        <v>508</v>
      </c>
      <c r="D152" s="11" t="s">
        <v>509</v>
      </c>
      <c r="E152" s="10" t="s">
        <v>510</v>
      </c>
      <c r="F152" s="10" t="s">
        <v>67</v>
      </c>
      <c r="G152" s="12"/>
      <c r="H152" s="12"/>
      <c r="I152" s="12"/>
      <c r="J152" s="12"/>
      <c r="K152" s="12"/>
      <c r="L152" s="12"/>
      <c r="M152" s="12"/>
      <c r="N152" s="12"/>
      <c r="O152" s="12"/>
      <c r="P152" s="12"/>
      <c r="Q152" s="12"/>
      <c r="R152" s="12"/>
      <c r="S152" s="12"/>
      <c r="T152" s="12"/>
      <c r="U152" s="12"/>
      <c r="V152" s="12"/>
      <c r="W152" s="12"/>
      <c r="X152" s="12"/>
      <c r="Y152" s="12"/>
      <c r="Z152" s="12"/>
      <c r="AA152" s="12"/>
      <c r="AB152" s="12"/>
      <c r="AC152" s="13">
        <v>6</v>
      </c>
      <c r="AD152" s="12"/>
      <c r="AE152" s="12"/>
      <c r="AF152" s="12"/>
      <c r="AG152" s="12"/>
      <c r="AH152" s="12"/>
      <c r="AI152" s="12"/>
      <c r="AJ152" s="12"/>
      <c r="AK152" s="12"/>
      <c r="AL152" s="13">
        <v>2</v>
      </c>
      <c r="AM152" s="12"/>
      <c r="AN152" s="12"/>
      <c r="AO152" s="12"/>
      <c r="AP152" s="12"/>
      <c r="AQ152" s="12"/>
      <c r="AR152" s="13">
        <v>5</v>
      </c>
      <c r="AS152" s="13">
        <v>1</v>
      </c>
      <c r="AT152" s="12"/>
      <c r="AU152" s="12"/>
      <c r="AV152" s="12"/>
      <c r="AW152" s="13">
        <v>1</v>
      </c>
      <c r="AX152" s="12"/>
      <c r="AY152" s="12"/>
      <c r="AZ152" s="12"/>
      <c r="BA152" s="12"/>
      <c r="BB152" s="12"/>
      <c r="BC152" s="12"/>
      <c r="BD152" s="12"/>
      <c r="BE152" s="12"/>
      <c r="BF152" s="12"/>
      <c r="BG152" s="12"/>
      <c r="BH152" s="13">
        <f t="shared" si="2"/>
        <v>15</v>
      </c>
      <c r="BI152" s="14">
        <f>BH152*192</f>
        <v>2880</v>
      </c>
    </row>
    <row r="153" spans="1:61" ht="153" x14ac:dyDescent="0.25">
      <c r="A153" s="10">
        <v>148</v>
      </c>
      <c r="B153" s="11" t="s">
        <v>511</v>
      </c>
      <c r="C153" s="10" t="s">
        <v>511</v>
      </c>
      <c r="D153" s="11" t="s">
        <v>512</v>
      </c>
      <c r="E153" s="10" t="s">
        <v>513</v>
      </c>
      <c r="F153" s="10" t="s">
        <v>67</v>
      </c>
      <c r="G153" s="12"/>
      <c r="H153" s="13">
        <v>6</v>
      </c>
      <c r="I153" s="12"/>
      <c r="J153" s="12"/>
      <c r="K153" s="13">
        <v>6</v>
      </c>
      <c r="L153" s="13">
        <v>2</v>
      </c>
      <c r="M153" s="12"/>
      <c r="N153" s="12"/>
      <c r="O153" s="12"/>
      <c r="P153" s="12"/>
      <c r="Q153" s="12"/>
      <c r="R153" s="12"/>
      <c r="S153" s="12"/>
      <c r="T153" s="12"/>
      <c r="U153" s="12"/>
      <c r="V153" s="12"/>
      <c r="W153" s="12"/>
      <c r="X153" s="13">
        <v>20</v>
      </c>
      <c r="Y153" s="12"/>
      <c r="Z153" s="12"/>
      <c r="AA153" s="12"/>
      <c r="AB153" s="12"/>
      <c r="AC153" s="13">
        <v>6</v>
      </c>
      <c r="AD153" s="12"/>
      <c r="AE153" s="12"/>
      <c r="AF153" s="12"/>
      <c r="AG153" s="12"/>
      <c r="AH153" s="13">
        <v>3</v>
      </c>
      <c r="AI153" s="12"/>
      <c r="AJ153" s="12"/>
      <c r="AK153" s="12"/>
      <c r="AL153" s="13">
        <v>3</v>
      </c>
      <c r="AM153" s="13">
        <v>2</v>
      </c>
      <c r="AN153" s="12"/>
      <c r="AO153" s="13">
        <v>3</v>
      </c>
      <c r="AP153" s="12"/>
      <c r="AQ153" s="12"/>
      <c r="AR153" s="12"/>
      <c r="AS153" s="13">
        <v>1</v>
      </c>
      <c r="AT153" s="12"/>
      <c r="AU153" s="13">
        <v>5</v>
      </c>
      <c r="AV153" s="13">
        <v>2</v>
      </c>
      <c r="AW153" s="12"/>
      <c r="AX153" s="12"/>
      <c r="AY153" s="12"/>
      <c r="AZ153" s="12"/>
      <c r="BA153" s="13">
        <v>4</v>
      </c>
      <c r="BB153" s="13">
        <v>1</v>
      </c>
      <c r="BC153" s="13">
        <v>5</v>
      </c>
      <c r="BD153" s="13">
        <v>5</v>
      </c>
      <c r="BE153" s="12"/>
      <c r="BF153" s="12"/>
      <c r="BG153" s="12">
        <v>10</v>
      </c>
      <c r="BH153" s="13">
        <f t="shared" si="2"/>
        <v>84</v>
      </c>
      <c r="BI153" s="14">
        <f>BH153*192</f>
        <v>16128</v>
      </c>
    </row>
    <row r="154" spans="1:61" ht="153" x14ac:dyDescent="0.25">
      <c r="A154" s="10">
        <v>149</v>
      </c>
      <c r="B154" s="11" t="s">
        <v>514</v>
      </c>
      <c r="C154" s="10" t="s">
        <v>514</v>
      </c>
      <c r="D154" s="11" t="s">
        <v>515</v>
      </c>
      <c r="E154" s="10" t="s">
        <v>516</v>
      </c>
      <c r="F154" s="10" t="s">
        <v>67</v>
      </c>
      <c r="G154" s="12"/>
      <c r="H154" s="12"/>
      <c r="I154" s="12"/>
      <c r="J154" s="13">
        <v>3</v>
      </c>
      <c r="K154" s="12"/>
      <c r="L154" s="13">
        <v>9</v>
      </c>
      <c r="M154" s="12"/>
      <c r="N154" s="12"/>
      <c r="O154" s="12"/>
      <c r="P154" s="12"/>
      <c r="Q154" s="12"/>
      <c r="R154" s="12"/>
      <c r="S154" s="12"/>
      <c r="T154" s="12"/>
      <c r="U154" s="12"/>
      <c r="V154" s="12"/>
      <c r="W154" s="12"/>
      <c r="X154" s="12"/>
      <c r="Y154" s="13">
        <v>2</v>
      </c>
      <c r="Z154" s="12"/>
      <c r="AA154" s="12"/>
      <c r="AB154" s="12"/>
      <c r="AC154" s="13">
        <v>4</v>
      </c>
      <c r="AD154" s="12"/>
      <c r="AE154" s="12"/>
      <c r="AF154" s="13">
        <v>5</v>
      </c>
      <c r="AG154" s="12"/>
      <c r="AH154" s="13">
        <v>5</v>
      </c>
      <c r="AI154" s="12"/>
      <c r="AJ154" s="12"/>
      <c r="AK154" s="13">
        <v>2</v>
      </c>
      <c r="AL154" s="13">
        <v>3</v>
      </c>
      <c r="AM154" s="13">
        <v>2</v>
      </c>
      <c r="AN154" s="12"/>
      <c r="AO154" s="13">
        <v>12</v>
      </c>
      <c r="AP154" s="12"/>
      <c r="AQ154" s="12"/>
      <c r="AR154" s="13">
        <v>5</v>
      </c>
      <c r="AS154" s="13">
        <v>2</v>
      </c>
      <c r="AT154" s="12"/>
      <c r="AU154" s="12"/>
      <c r="AV154" s="13">
        <v>1</v>
      </c>
      <c r="AW154" s="13">
        <v>1</v>
      </c>
      <c r="AX154" s="12"/>
      <c r="AY154" s="13">
        <v>1</v>
      </c>
      <c r="AZ154" s="12"/>
      <c r="BA154" s="13">
        <v>4</v>
      </c>
      <c r="BB154" s="13">
        <v>1</v>
      </c>
      <c r="BC154" s="13">
        <v>5</v>
      </c>
      <c r="BD154" s="13">
        <v>7</v>
      </c>
      <c r="BE154" s="12"/>
      <c r="BF154" s="12"/>
      <c r="BG154" s="12"/>
      <c r="BH154" s="13">
        <f t="shared" si="2"/>
        <v>74</v>
      </c>
      <c r="BI154" s="14">
        <f>BH154*192</f>
        <v>14208</v>
      </c>
    </row>
    <row r="155" spans="1:61" ht="153" x14ac:dyDescent="0.25">
      <c r="A155" s="10">
        <v>150</v>
      </c>
      <c r="B155" s="11" t="s">
        <v>517</v>
      </c>
      <c r="C155" s="10" t="s">
        <v>517</v>
      </c>
      <c r="D155" s="11" t="s">
        <v>518</v>
      </c>
      <c r="E155" s="10" t="s">
        <v>519</v>
      </c>
      <c r="F155" s="10" t="s">
        <v>67</v>
      </c>
      <c r="G155" s="12"/>
      <c r="H155" s="12"/>
      <c r="I155" s="12"/>
      <c r="J155" s="12"/>
      <c r="K155" s="12"/>
      <c r="L155" s="12"/>
      <c r="M155" s="12"/>
      <c r="N155" s="12"/>
      <c r="O155" s="12"/>
      <c r="P155" s="12"/>
      <c r="Q155" s="12"/>
      <c r="R155" s="12"/>
      <c r="S155" s="12"/>
      <c r="T155" s="12"/>
      <c r="U155" s="12"/>
      <c r="V155" s="12"/>
      <c r="W155" s="12"/>
      <c r="X155" s="12"/>
      <c r="Y155" s="12"/>
      <c r="Z155" s="12"/>
      <c r="AA155" s="12"/>
      <c r="AB155" s="12"/>
      <c r="AC155" s="13">
        <v>4</v>
      </c>
      <c r="AD155" s="12"/>
      <c r="AE155" s="12"/>
      <c r="AF155" s="12"/>
      <c r="AG155" s="12"/>
      <c r="AH155" s="12"/>
      <c r="AI155" s="12"/>
      <c r="AJ155" s="12"/>
      <c r="AK155" s="12"/>
      <c r="AL155" s="13">
        <v>1</v>
      </c>
      <c r="AM155" s="12"/>
      <c r="AN155" s="12"/>
      <c r="AO155" s="12"/>
      <c r="AP155" s="12"/>
      <c r="AQ155" s="12"/>
      <c r="AR155" s="12"/>
      <c r="AS155" s="12"/>
      <c r="AT155" s="12"/>
      <c r="AU155" s="12"/>
      <c r="AV155" s="12"/>
      <c r="AW155" s="13">
        <v>1</v>
      </c>
      <c r="AX155" s="12"/>
      <c r="AY155" s="12"/>
      <c r="AZ155" s="12"/>
      <c r="BA155" s="13">
        <v>2</v>
      </c>
      <c r="BB155" s="12"/>
      <c r="BC155" s="12"/>
      <c r="BD155" s="12"/>
      <c r="BE155" s="12"/>
      <c r="BF155" s="12"/>
      <c r="BG155" s="12"/>
      <c r="BH155" s="13">
        <f t="shared" si="2"/>
        <v>8</v>
      </c>
      <c r="BI155" s="14">
        <f>BH155*192</f>
        <v>1536</v>
      </c>
    </row>
    <row r="156" spans="1:61" ht="76.5" x14ac:dyDescent="0.25">
      <c r="A156" s="10">
        <v>151</v>
      </c>
      <c r="B156" s="11" t="s">
        <v>520</v>
      </c>
      <c r="C156" s="10" t="s">
        <v>520</v>
      </c>
      <c r="D156" s="11" t="s">
        <v>521</v>
      </c>
      <c r="E156" s="10" t="s">
        <v>522</v>
      </c>
      <c r="F156" s="10" t="s">
        <v>67</v>
      </c>
      <c r="G156" s="12"/>
      <c r="H156" s="13">
        <v>2</v>
      </c>
      <c r="I156" s="12"/>
      <c r="J156" s="12"/>
      <c r="K156" s="12"/>
      <c r="L156" s="13">
        <v>5</v>
      </c>
      <c r="M156" s="12"/>
      <c r="N156" s="12"/>
      <c r="O156" s="12"/>
      <c r="P156" s="12"/>
      <c r="Q156" s="12"/>
      <c r="R156" s="12"/>
      <c r="S156" s="12"/>
      <c r="T156" s="12"/>
      <c r="U156" s="12"/>
      <c r="V156" s="12"/>
      <c r="W156" s="12"/>
      <c r="X156" s="12"/>
      <c r="Y156" s="12"/>
      <c r="Z156" s="12"/>
      <c r="AA156" s="12"/>
      <c r="AB156" s="12"/>
      <c r="AC156" s="13">
        <v>6</v>
      </c>
      <c r="AD156" s="13">
        <v>2</v>
      </c>
      <c r="AE156" s="12"/>
      <c r="AF156" s="12"/>
      <c r="AG156" s="12"/>
      <c r="AH156" s="12"/>
      <c r="AI156" s="12"/>
      <c r="AJ156" s="12"/>
      <c r="AK156" s="12"/>
      <c r="AL156" s="13">
        <v>2</v>
      </c>
      <c r="AM156" s="12"/>
      <c r="AN156" s="12"/>
      <c r="AO156" s="13">
        <v>2</v>
      </c>
      <c r="AP156" s="12"/>
      <c r="AQ156" s="12"/>
      <c r="AR156" s="12"/>
      <c r="AS156" s="13">
        <v>2</v>
      </c>
      <c r="AT156" s="13">
        <v>1</v>
      </c>
      <c r="AU156" s="13">
        <v>1</v>
      </c>
      <c r="AV156" s="12"/>
      <c r="AW156" s="12"/>
      <c r="AX156" s="12"/>
      <c r="AY156" s="12"/>
      <c r="AZ156" s="12"/>
      <c r="BA156" s="13">
        <v>2</v>
      </c>
      <c r="BB156" s="12"/>
      <c r="BC156" s="13">
        <v>1</v>
      </c>
      <c r="BD156" s="13">
        <v>3</v>
      </c>
      <c r="BE156" s="12"/>
      <c r="BF156" s="12"/>
      <c r="BG156" s="12"/>
      <c r="BH156" s="13">
        <f t="shared" si="2"/>
        <v>29</v>
      </c>
      <c r="BI156" s="14">
        <f>BH156*200.004137931034</f>
        <v>5800.1199999999862</v>
      </c>
    </row>
    <row r="157" spans="1:61" ht="51" x14ac:dyDescent="0.25">
      <c r="A157" s="10">
        <v>152</v>
      </c>
      <c r="B157" s="11" t="s">
        <v>523</v>
      </c>
      <c r="C157" s="10" t="s">
        <v>523</v>
      </c>
      <c r="D157" s="11" t="s">
        <v>524</v>
      </c>
      <c r="E157" s="10" t="s">
        <v>525</v>
      </c>
      <c r="F157" s="10" t="s">
        <v>67</v>
      </c>
      <c r="G157" s="12"/>
      <c r="H157" s="12"/>
      <c r="I157" s="12"/>
      <c r="J157" s="12"/>
      <c r="K157" s="13">
        <v>6</v>
      </c>
      <c r="L157" s="13">
        <v>12</v>
      </c>
      <c r="M157" s="12"/>
      <c r="N157" s="12"/>
      <c r="O157" s="12"/>
      <c r="P157" s="12"/>
      <c r="Q157" s="12"/>
      <c r="R157" s="12"/>
      <c r="S157" s="12"/>
      <c r="T157" s="12"/>
      <c r="U157" s="12"/>
      <c r="V157" s="12"/>
      <c r="W157" s="12"/>
      <c r="X157" s="13">
        <v>60</v>
      </c>
      <c r="Y157" s="13">
        <v>1</v>
      </c>
      <c r="Z157" s="13">
        <v>92</v>
      </c>
      <c r="AA157" s="12"/>
      <c r="AB157" s="12"/>
      <c r="AC157" s="13">
        <v>20</v>
      </c>
      <c r="AD157" s="12"/>
      <c r="AE157" s="12"/>
      <c r="AF157" s="12"/>
      <c r="AG157" s="12"/>
      <c r="AH157" s="13">
        <v>70</v>
      </c>
      <c r="AI157" s="12"/>
      <c r="AJ157" s="12"/>
      <c r="AK157" s="12"/>
      <c r="AL157" s="12"/>
      <c r="AM157" s="12"/>
      <c r="AN157" s="12"/>
      <c r="AO157" s="12"/>
      <c r="AP157" s="12"/>
      <c r="AQ157" s="12"/>
      <c r="AR157" s="13">
        <v>20</v>
      </c>
      <c r="AS157" s="12"/>
      <c r="AT157" s="12"/>
      <c r="AU157" s="12"/>
      <c r="AV157" s="12"/>
      <c r="AW157" s="12"/>
      <c r="AX157" s="12"/>
      <c r="AY157" s="12"/>
      <c r="AZ157" s="12"/>
      <c r="BA157" s="12"/>
      <c r="BB157" s="12"/>
      <c r="BC157" s="13">
        <v>6</v>
      </c>
      <c r="BD157" s="13">
        <v>10</v>
      </c>
      <c r="BE157" s="12"/>
      <c r="BF157" s="12"/>
      <c r="BG157" s="12"/>
      <c r="BH157" s="13">
        <f t="shared" si="2"/>
        <v>297</v>
      </c>
      <c r="BI157" s="14">
        <f>BH157*131.688013468013</f>
        <v>39111.339999999858</v>
      </c>
    </row>
    <row r="158" spans="1:61" ht="38.25" x14ac:dyDescent="0.25">
      <c r="A158" s="10">
        <v>153</v>
      </c>
      <c r="B158" s="11" t="s">
        <v>526</v>
      </c>
      <c r="C158" s="10" t="s">
        <v>526</v>
      </c>
      <c r="D158" s="11" t="s">
        <v>527</v>
      </c>
      <c r="E158" s="10" t="s">
        <v>528</v>
      </c>
      <c r="F158" s="10" t="s">
        <v>67</v>
      </c>
      <c r="G158" s="12"/>
      <c r="H158" s="12"/>
      <c r="I158" s="12"/>
      <c r="J158" s="12"/>
      <c r="K158" s="12"/>
      <c r="L158" s="12"/>
      <c r="M158" s="12"/>
      <c r="N158" s="12"/>
      <c r="O158" s="12"/>
      <c r="P158" s="12"/>
      <c r="Q158" s="12"/>
      <c r="R158" s="12"/>
      <c r="S158" s="12"/>
      <c r="T158" s="12"/>
      <c r="U158" s="12"/>
      <c r="V158" s="12"/>
      <c r="W158" s="13">
        <v>2</v>
      </c>
      <c r="X158" s="12"/>
      <c r="Y158" s="13">
        <v>2</v>
      </c>
      <c r="Z158" s="12"/>
      <c r="AA158" s="12"/>
      <c r="AB158" s="12"/>
      <c r="AC158" s="12"/>
      <c r="AD158" s="12"/>
      <c r="AE158" s="13">
        <v>10</v>
      </c>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3">
        <f t="shared" si="2"/>
        <v>14</v>
      </c>
      <c r="BI158" s="14">
        <f>BH158*600</f>
        <v>8400</v>
      </c>
    </row>
    <row r="159" spans="1:61" ht="63.75" x14ac:dyDescent="0.25">
      <c r="A159" s="10">
        <v>154</v>
      </c>
      <c r="B159" s="11" t="s">
        <v>529</v>
      </c>
      <c r="C159" s="10" t="s">
        <v>529</v>
      </c>
      <c r="D159" s="11" t="s">
        <v>530</v>
      </c>
      <c r="E159" s="10" t="s">
        <v>531</v>
      </c>
      <c r="F159" s="10" t="s">
        <v>67</v>
      </c>
      <c r="G159" s="12"/>
      <c r="H159" s="12"/>
      <c r="I159" s="12"/>
      <c r="J159" s="12"/>
      <c r="K159" s="12"/>
      <c r="L159" s="12"/>
      <c r="M159" s="12"/>
      <c r="N159" s="12"/>
      <c r="O159" s="12"/>
      <c r="P159" s="12"/>
      <c r="Q159" s="12"/>
      <c r="R159" s="12"/>
      <c r="S159" s="12"/>
      <c r="T159" s="12"/>
      <c r="U159" s="12"/>
      <c r="V159" s="12"/>
      <c r="W159" s="12"/>
      <c r="X159" s="12"/>
      <c r="Y159" s="12"/>
      <c r="Z159" s="12"/>
      <c r="AA159" s="12"/>
      <c r="AB159" s="12"/>
      <c r="AC159" s="13">
        <v>5</v>
      </c>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3">
        <f t="shared" si="2"/>
        <v>5</v>
      </c>
      <c r="BI159" s="14">
        <f>BH159*224.4</f>
        <v>1122</v>
      </c>
    </row>
    <row r="160" spans="1:61" ht="63.75" x14ac:dyDescent="0.25">
      <c r="A160" s="10">
        <v>155</v>
      </c>
      <c r="B160" s="11" t="s">
        <v>532</v>
      </c>
      <c r="C160" s="10" t="s">
        <v>532</v>
      </c>
      <c r="D160" s="11" t="s">
        <v>533</v>
      </c>
      <c r="E160" s="10" t="s">
        <v>534</v>
      </c>
      <c r="F160" s="10" t="s">
        <v>67</v>
      </c>
      <c r="G160" s="12"/>
      <c r="H160" s="12"/>
      <c r="I160" s="12"/>
      <c r="J160" s="12"/>
      <c r="K160" s="12"/>
      <c r="L160" s="12"/>
      <c r="M160" s="12"/>
      <c r="N160" s="12"/>
      <c r="O160" s="12"/>
      <c r="P160" s="12"/>
      <c r="Q160" s="12"/>
      <c r="R160" s="12"/>
      <c r="S160" s="12"/>
      <c r="T160" s="12"/>
      <c r="U160" s="12"/>
      <c r="V160" s="12"/>
      <c r="W160" s="12"/>
      <c r="X160" s="12"/>
      <c r="Y160" s="13">
        <v>1</v>
      </c>
      <c r="Z160" s="12"/>
      <c r="AA160" s="12"/>
      <c r="AB160" s="12"/>
      <c r="AC160" s="13">
        <v>5</v>
      </c>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3">
        <f t="shared" si="2"/>
        <v>6</v>
      </c>
      <c r="BI160" s="14">
        <f>BH160*224.4</f>
        <v>1346.4</v>
      </c>
    </row>
    <row r="161" spans="1:61" ht="63.75" x14ac:dyDescent="0.25">
      <c r="A161" s="10">
        <v>156</v>
      </c>
      <c r="B161" s="11" t="s">
        <v>535</v>
      </c>
      <c r="C161" s="10" t="s">
        <v>535</v>
      </c>
      <c r="D161" s="11" t="s">
        <v>536</v>
      </c>
      <c r="E161" s="10" t="s">
        <v>537</v>
      </c>
      <c r="F161" s="10" t="s">
        <v>67</v>
      </c>
      <c r="G161" s="12"/>
      <c r="H161" s="13">
        <v>2</v>
      </c>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3">
        <f t="shared" si="2"/>
        <v>2</v>
      </c>
      <c r="BI161" s="15">
        <f>BH161*367.2</f>
        <v>734.4</v>
      </c>
    </row>
    <row r="162" spans="1:61" ht="63.75" x14ac:dyDescent="0.25">
      <c r="A162" s="10">
        <v>157</v>
      </c>
      <c r="B162" s="11" t="s">
        <v>538</v>
      </c>
      <c r="C162" s="10" t="s">
        <v>538</v>
      </c>
      <c r="D162" s="11" t="s">
        <v>539</v>
      </c>
      <c r="E162" s="10" t="s">
        <v>540</v>
      </c>
      <c r="F162" s="10" t="s">
        <v>67</v>
      </c>
      <c r="G162" s="12"/>
      <c r="H162" s="12"/>
      <c r="I162" s="12"/>
      <c r="J162" s="12"/>
      <c r="K162" s="12"/>
      <c r="L162" s="12"/>
      <c r="M162" s="12"/>
      <c r="N162" s="12"/>
      <c r="O162" s="12"/>
      <c r="P162" s="12"/>
      <c r="Q162" s="12"/>
      <c r="R162" s="12"/>
      <c r="S162" s="12"/>
      <c r="T162" s="12"/>
      <c r="U162" s="12"/>
      <c r="V162" s="12"/>
      <c r="W162" s="12"/>
      <c r="X162" s="12"/>
      <c r="Y162" s="12"/>
      <c r="Z162" s="12"/>
      <c r="AA162" s="12"/>
      <c r="AB162" s="12"/>
      <c r="AC162" s="13">
        <v>2</v>
      </c>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3">
        <f t="shared" si="2"/>
        <v>2</v>
      </c>
      <c r="BI162" s="15">
        <f>BH162*234</f>
        <v>468</v>
      </c>
    </row>
    <row r="163" spans="1:61" ht="63.75" x14ac:dyDescent="0.25">
      <c r="A163" s="10">
        <v>158</v>
      </c>
      <c r="B163" s="11" t="s">
        <v>541</v>
      </c>
      <c r="C163" s="10" t="s">
        <v>541</v>
      </c>
      <c r="D163" s="11" t="s">
        <v>542</v>
      </c>
      <c r="E163" s="10" t="s">
        <v>543</v>
      </c>
      <c r="F163" s="10" t="s">
        <v>67</v>
      </c>
      <c r="G163" s="12"/>
      <c r="H163" s="12"/>
      <c r="I163" s="12"/>
      <c r="J163" s="12"/>
      <c r="K163" s="12"/>
      <c r="L163" s="12"/>
      <c r="M163" s="12"/>
      <c r="N163" s="12"/>
      <c r="O163" s="12"/>
      <c r="P163" s="12"/>
      <c r="Q163" s="12"/>
      <c r="R163" s="12"/>
      <c r="S163" s="12"/>
      <c r="T163" s="12"/>
      <c r="U163" s="12"/>
      <c r="V163" s="12"/>
      <c r="W163" s="12"/>
      <c r="X163" s="12"/>
      <c r="Y163" s="12"/>
      <c r="Z163" s="12"/>
      <c r="AA163" s="12"/>
      <c r="AB163" s="12"/>
      <c r="AC163" s="13">
        <v>2</v>
      </c>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3">
        <f t="shared" si="2"/>
        <v>2</v>
      </c>
      <c r="BI163" s="15">
        <f>BH163*244.8</f>
        <v>489.6</v>
      </c>
    </row>
    <row r="164" spans="1:61" ht="63.75" x14ac:dyDescent="0.25">
      <c r="A164" s="10">
        <v>159</v>
      </c>
      <c r="B164" s="11" t="s">
        <v>544</v>
      </c>
      <c r="C164" s="10" t="s">
        <v>544</v>
      </c>
      <c r="D164" s="11" t="s">
        <v>545</v>
      </c>
      <c r="E164" s="10" t="s">
        <v>546</v>
      </c>
      <c r="F164" s="10" t="s">
        <v>67</v>
      </c>
      <c r="G164" s="12"/>
      <c r="H164" s="12"/>
      <c r="I164" s="12"/>
      <c r="J164" s="12"/>
      <c r="K164" s="12"/>
      <c r="L164" s="12"/>
      <c r="M164" s="12"/>
      <c r="N164" s="12"/>
      <c r="O164" s="12"/>
      <c r="P164" s="12"/>
      <c r="Q164" s="12"/>
      <c r="R164" s="12"/>
      <c r="S164" s="12"/>
      <c r="T164" s="12"/>
      <c r="U164" s="12"/>
      <c r="V164" s="12"/>
      <c r="W164" s="12"/>
      <c r="X164" s="12"/>
      <c r="Y164" s="12"/>
      <c r="Z164" s="12"/>
      <c r="AA164" s="12"/>
      <c r="AB164" s="12"/>
      <c r="AC164" s="13">
        <v>2</v>
      </c>
      <c r="AD164" s="12"/>
      <c r="AE164" s="12"/>
      <c r="AF164" s="12"/>
      <c r="AG164" s="12"/>
      <c r="AH164" s="12"/>
      <c r="AI164" s="12"/>
      <c r="AJ164" s="12"/>
      <c r="AK164" s="12"/>
      <c r="AL164" s="12"/>
      <c r="AM164" s="12"/>
      <c r="AN164" s="12"/>
      <c r="AO164" s="12"/>
      <c r="AP164" s="13">
        <v>1</v>
      </c>
      <c r="AQ164" s="12"/>
      <c r="AR164" s="12"/>
      <c r="AS164" s="12"/>
      <c r="AT164" s="12"/>
      <c r="AU164" s="12"/>
      <c r="AV164" s="12"/>
      <c r="AW164" s="12"/>
      <c r="AX164" s="12"/>
      <c r="AY164" s="12"/>
      <c r="AZ164" s="12"/>
      <c r="BA164" s="12"/>
      <c r="BB164" s="12"/>
      <c r="BC164" s="12"/>
      <c r="BD164" s="12"/>
      <c r="BE164" s="12"/>
      <c r="BF164" s="12"/>
      <c r="BG164" s="12"/>
      <c r="BH164" s="13">
        <f t="shared" si="2"/>
        <v>3</v>
      </c>
      <c r="BI164" s="14">
        <f>BH164*556.8</f>
        <v>1670.3999999999999</v>
      </c>
    </row>
    <row r="165" spans="1:61" ht="51" x14ac:dyDescent="0.25">
      <c r="A165" s="10">
        <v>160</v>
      </c>
      <c r="B165" s="11" t="s">
        <v>547</v>
      </c>
      <c r="C165" s="10" t="s">
        <v>547</v>
      </c>
      <c r="D165" s="11" t="s">
        <v>548</v>
      </c>
      <c r="E165" s="10" t="s">
        <v>549</v>
      </c>
      <c r="F165" s="10" t="s">
        <v>67</v>
      </c>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3">
        <v>2</v>
      </c>
      <c r="AI165" s="12"/>
      <c r="AJ165" s="12"/>
      <c r="AK165" s="12"/>
      <c r="AL165" s="13">
        <v>2</v>
      </c>
      <c r="AM165" s="12"/>
      <c r="AN165" s="12"/>
      <c r="AO165" s="12"/>
      <c r="AP165" s="12"/>
      <c r="AQ165" s="12"/>
      <c r="AR165" s="12"/>
      <c r="AS165" s="12"/>
      <c r="AT165" s="12"/>
      <c r="AU165" s="12"/>
      <c r="AV165" s="12"/>
      <c r="AW165" s="12"/>
      <c r="AX165" s="12"/>
      <c r="AY165" s="12"/>
      <c r="AZ165" s="12"/>
      <c r="BA165" s="12"/>
      <c r="BB165" s="12"/>
      <c r="BC165" s="12"/>
      <c r="BD165" s="13">
        <v>1</v>
      </c>
      <c r="BE165" s="12"/>
      <c r="BF165" s="12"/>
      <c r="BG165" s="12"/>
      <c r="BH165" s="13">
        <f t="shared" si="2"/>
        <v>5</v>
      </c>
      <c r="BI165" s="14">
        <f>BH165*576</f>
        <v>2880</v>
      </c>
    </row>
    <row r="166" spans="1:61" ht="63.75" x14ac:dyDescent="0.25">
      <c r="A166" s="10">
        <v>161</v>
      </c>
      <c r="B166" s="11" t="s">
        <v>550</v>
      </c>
      <c r="C166" s="10" t="s">
        <v>550</v>
      </c>
      <c r="D166" s="11" t="s">
        <v>551</v>
      </c>
      <c r="E166" s="10" t="s">
        <v>552</v>
      </c>
      <c r="F166" s="10" t="s">
        <v>67</v>
      </c>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3">
        <v>7</v>
      </c>
      <c r="AI166" s="13">
        <v>2</v>
      </c>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3">
        <f t="shared" si="2"/>
        <v>9</v>
      </c>
      <c r="BI166" s="14">
        <f>BH166*750</f>
        <v>6750</v>
      </c>
    </row>
    <row r="167" spans="1:61" ht="63.75" x14ac:dyDescent="0.25">
      <c r="A167" s="10">
        <v>162</v>
      </c>
      <c r="B167" s="11" t="s">
        <v>553</v>
      </c>
      <c r="C167" s="10" t="s">
        <v>553</v>
      </c>
      <c r="D167" s="11" t="s">
        <v>554</v>
      </c>
      <c r="E167" s="10" t="s">
        <v>555</v>
      </c>
      <c r="F167" s="10" t="s">
        <v>67</v>
      </c>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3">
        <v>7</v>
      </c>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3">
        <f t="shared" si="2"/>
        <v>7</v>
      </c>
      <c r="BI167" s="14">
        <f>BH167*750</f>
        <v>5250</v>
      </c>
    </row>
    <row r="168" spans="1:61" ht="63.75" x14ac:dyDescent="0.25">
      <c r="A168" s="10">
        <v>163</v>
      </c>
      <c r="B168" s="11" t="s">
        <v>556</v>
      </c>
      <c r="C168" s="10" t="s">
        <v>556</v>
      </c>
      <c r="D168" s="11" t="s">
        <v>557</v>
      </c>
      <c r="E168" s="10" t="s">
        <v>558</v>
      </c>
      <c r="F168" s="10" t="s">
        <v>67</v>
      </c>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3">
        <v>7</v>
      </c>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3">
        <f t="shared" si="2"/>
        <v>7</v>
      </c>
      <c r="BI168" s="14">
        <f>BH168*800.004285714286</f>
        <v>5600.0300000000016</v>
      </c>
    </row>
    <row r="169" spans="1:61" ht="63.75" x14ac:dyDescent="0.25">
      <c r="A169" s="10">
        <v>164</v>
      </c>
      <c r="B169" s="11" t="s">
        <v>559</v>
      </c>
      <c r="C169" s="10" t="s">
        <v>559</v>
      </c>
      <c r="D169" s="11" t="s">
        <v>560</v>
      </c>
      <c r="E169" s="10" t="s">
        <v>561</v>
      </c>
      <c r="F169" s="10" t="s">
        <v>67</v>
      </c>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3">
        <v>1</v>
      </c>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3">
        <f t="shared" si="2"/>
        <v>1</v>
      </c>
      <c r="BI169" s="15">
        <f>BH169*800</f>
        <v>800</v>
      </c>
    </row>
    <row r="170" spans="1:61" ht="63.75" x14ac:dyDescent="0.25">
      <c r="A170" s="10">
        <v>165</v>
      </c>
      <c r="B170" s="11" t="s">
        <v>562</v>
      </c>
      <c r="C170" s="10" t="s">
        <v>562</v>
      </c>
      <c r="D170" s="11" t="s">
        <v>563</v>
      </c>
      <c r="E170" s="10" t="s">
        <v>564</v>
      </c>
      <c r="F170" s="10" t="s">
        <v>67</v>
      </c>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3">
        <v>1</v>
      </c>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3">
        <f t="shared" si="2"/>
        <v>1</v>
      </c>
      <c r="BI170" s="15">
        <f>BH170*800</f>
        <v>800</v>
      </c>
    </row>
    <row r="171" spans="1:61" ht="89.25" x14ac:dyDescent="0.25">
      <c r="A171" s="10">
        <v>166</v>
      </c>
      <c r="B171" s="11" t="s">
        <v>565</v>
      </c>
      <c r="C171" s="10" t="s">
        <v>565</v>
      </c>
      <c r="D171" s="11" t="s">
        <v>566</v>
      </c>
      <c r="E171" s="10" t="s">
        <v>567</v>
      </c>
      <c r="F171" s="10" t="s">
        <v>67</v>
      </c>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3">
        <v>6</v>
      </c>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3">
        <f t="shared" si="2"/>
        <v>6</v>
      </c>
      <c r="BI171" s="14">
        <f>BH171*3328.8</f>
        <v>19972.800000000003</v>
      </c>
    </row>
    <row r="172" spans="1:61" ht="76.5" x14ac:dyDescent="0.25">
      <c r="A172" s="10">
        <v>167</v>
      </c>
      <c r="B172" s="11" t="s">
        <v>568</v>
      </c>
      <c r="C172" s="10" t="s">
        <v>568</v>
      </c>
      <c r="D172" s="11" t="s">
        <v>569</v>
      </c>
      <c r="E172" s="18" t="s">
        <v>570</v>
      </c>
      <c r="F172" s="10" t="s">
        <v>67</v>
      </c>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3">
        <v>6</v>
      </c>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3">
        <f t="shared" si="2"/>
        <v>6</v>
      </c>
      <c r="BI172" s="14">
        <f>BH172*5000.00333333333</f>
        <v>30000.019999999982</v>
      </c>
    </row>
    <row r="173" spans="1:61" ht="76.5" x14ac:dyDescent="0.25">
      <c r="A173" s="10">
        <v>168</v>
      </c>
      <c r="B173" s="11" t="s">
        <v>571</v>
      </c>
      <c r="C173" s="10" t="s">
        <v>571</v>
      </c>
      <c r="D173" s="11" t="s">
        <v>572</v>
      </c>
      <c r="E173" s="18" t="s">
        <v>573</v>
      </c>
      <c r="F173" s="10" t="s">
        <v>67</v>
      </c>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3">
        <v>6</v>
      </c>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3">
        <f t="shared" si="2"/>
        <v>6</v>
      </c>
      <c r="BI173" s="14">
        <f t="shared" ref="BI173:BI175" si="3">BH173*5000.00333333333</f>
        <v>30000.019999999982</v>
      </c>
    </row>
    <row r="174" spans="1:61" ht="76.5" x14ac:dyDescent="0.25">
      <c r="A174" s="10">
        <v>169</v>
      </c>
      <c r="B174" s="11" t="s">
        <v>574</v>
      </c>
      <c r="C174" s="10" t="s">
        <v>574</v>
      </c>
      <c r="D174" s="11" t="s">
        <v>575</v>
      </c>
      <c r="E174" s="18" t="s">
        <v>576</v>
      </c>
      <c r="F174" s="10" t="s">
        <v>67</v>
      </c>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3">
        <v>6</v>
      </c>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3">
        <f t="shared" si="2"/>
        <v>6</v>
      </c>
      <c r="BI174" s="14">
        <f t="shared" si="3"/>
        <v>30000.019999999982</v>
      </c>
    </row>
    <row r="175" spans="1:61" ht="76.5" x14ac:dyDescent="0.25">
      <c r="A175" s="10">
        <v>170</v>
      </c>
      <c r="B175" s="11" t="s">
        <v>577</v>
      </c>
      <c r="C175" s="10" t="s">
        <v>577</v>
      </c>
      <c r="D175" s="11" t="s">
        <v>578</v>
      </c>
      <c r="E175" s="18" t="s">
        <v>579</v>
      </c>
      <c r="F175" s="10" t="s">
        <v>67</v>
      </c>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3">
        <v>6</v>
      </c>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3">
        <f t="shared" si="2"/>
        <v>6</v>
      </c>
      <c r="BI175" s="14">
        <f t="shared" si="3"/>
        <v>30000.019999999982</v>
      </c>
    </row>
    <row r="176" spans="1:61" ht="102" x14ac:dyDescent="0.25">
      <c r="A176" s="10">
        <v>171</v>
      </c>
      <c r="B176" s="11" t="s">
        <v>580</v>
      </c>
      <c r="C176" s="10" t="s">
        <v>580</v>
      </c>
      <c r="D176" s="11" t="s">
        <v>581</v>
      </c>
      <c r="E176" s="10" t="s">
        <v>582</v>
      </c>
      <c r="F176" s="10" t="s">
        <v>67</v>
      </c>
      <c r="G176" s="12"/>
      <c r="H176" s="12"/>
      <c r="I176" s="12"/>
      <c r="J176" s="12"/>
      <c r="K176" s="12"/>
      <c r="L176" s="12"/>
      <c r="M176" s="12"/>
      <c r="N176" s="12"/>
      <c r="O176" s="12"/>
      <c r="P176" s="12"/>
      <c r="Q176" s="12"/>
      <c r="R176" s="12"/>
      <c r="S176" s="12"/>
      <c r="T176" s="12"/>
      <c r="U176" s="12"/>
      <c r="V176" s="12"/>
      <c r="W176" s="12"/>
      <c r="X176" s="12"/>
      <c r="Y176" s="13">
        <v>1</v>
      </c>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3">
        <f t="shared" si="2"/>
        <v>1</v>
      </c>
      <c r="BI176" s="14">
        <f>BH176*38568</f>
        <v>38568</v>
      </c>
    </row>
    <row r="177" spans="1:61" ht="89.25" x14ac:dyDescent="0.25">
      <c r="A177" s="10">
        <v>172</v>
      </c>
      <c r="B177" s="11" t="s">
        <v>583</v>
      </c>
      <c r="C177" s="10" t="s">
        <v>583</v>
      </c>
      <c r="D177" s="11" t="s">
        <v>584</v>
      </c>
      <c r="E177" s="10" t="s">
        <v>585</v>
      </c>
      <c r="F177" s="10" t="s">
        <v>67</v>
      </c>
      <c r="G177" s="12"/>
      <c r="H177" s="12"/>
      <c r="I177" s="12"/>
      <c r="J177" s="12"/>
      <c r="K177" s="12"/>
      <c r="L177" s="12"/>
      <c r="M177" s="12"/>
      <c r="N177" s="12"/>
      <c r="O177" s="12"/>
      <c r="P177" s="12"/>
      <c r="Q177" s="12"/>
      <c r="R177" s="12"/>
      <c r="S177" s="12"/>
      <c r="T177" s="12"/>
      <c r="U177" s="12"/>
      <c r="V177" s="12"/>
      <c r="W177" s="12"/>
      <c r="X177" s="12"/>
      <c r="Y177" s="13">
        <v>1</v>
      </c>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3">
        <f t="shared" si="2"/>
        <v>1</v>
      </c>
      <c r="BI177" s="14">
        <f>BH177*7902</f>
        <v>7902</v>
      </c>
    </row>
    <row r="178" spans="1:61" ht="102" x14ac:dyDescent="0.25">
      <c r="A178" s="10">
        <v>173</v>
      </c>
      <c r="B178" s="11" t="s">
        <v>586</v>
      </c>
      <c r="C178" s="10" t="s">
        <v>586</v>
      </c>
      <c r="D178" s="11" t="s">
        <v>587</v>
      </c>
      <c r="E178" s="10" t="s">
        <v>588</v>
      </c>
      <c r="F178" s="10" t="s">
        <v>67</v>
      </c>
      <c r="G178" s="12"/>
      <c r="H178" s="12"/>
      <c r="I178" s="12"/>
      <c r="J178" s="12"/>
      <c r="K178" s="12"/>
      <c r="L178" s="12"/>
      <c r="M178" s="12"/>
      <c r="N178" s="12"/>
      <c r="O178" s="12"/>
      <c r="P178" s="12"/>
      <c r="Q178" s="12"/>
      <c r="R178" s="12"/>
      <c r="S178" s="12"/>
      <c r="T178" s="12"/>
      <c r="U178" s="12"/>
      <c r="V178" s="12"/>
      <c r="W178" s="12"/>
      <c r="X178" s="12"/>
      <c r="Y178" s="13">
        <v>1</v>
      </c>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3">
        <f t="shared" si="2"/>
        <v>1</v>
      </c>
      <c r="BI178" s="14">
        <f>BH178*7902</f>
        <v>7902</v>
      </c>
    </row>
    <row r="179" spans="1:61" ht="63.75" x14ac:dyDescent="0.25">
      <c r="A179" s="10">
        <v>174</v>
      </c>
      <c r="B179" s="11" t="s">
        <v>589</v>
      </c>
      <c r="C179" s="10" t="s">
        <v>589</v>
      </c>
      <c r="D179" s="11" t="s">
        <v>590</v>
      </c>
      <c r="E179" s="10" t="s">
        <v>591</v>
      </c>
      <c r="F179" s="10" t="s">
        <v>67</v>
      </c>
      <c r="G179" s="12"/>
      <c r="H179" s="12"/>
      <c r="I179" s="12"/>
      <c r="J179" s="12"/>
      <c r="K179" s="12"/>
      <c r="L179" s="12"/>
      <c r="M179" s="12"/>
      <c r="N179" s="12"/>
      <c r="O179" s="12"/>
      <c r="P179" s="12"/>
      <c r="Q179" s="12"/>
      <c r="R179" s="12"/>
      <c r="S179" s="12"/>
      <c r="T179" s="12"/>
      <c r="U179" s="12"/>
      <c r="V179" s="12"/>
      <c r="W179" s="12"/>
      <c r="X179" s="12"/>
      <c r="Y179" s="13">
        <v>1</v>
      </c>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3">
        <f t="shared" si="2"/>
        <v>1</v>
      </c>
      <c r="BI179" s="14">
        <f>BH179*5700</f>
        <v>5700</v>
      </c>
    </row>
    <row r="180" spans="1:61" ht="102" x14ac:dyDescent="0.25">
      <c r="A180" s="10">
        <v>175</v>
      </c>
      <c r="B180" s="11" t="s">
        <v>592</v>
      </c>
      <c r="C180" s="10" t="s">
        <v>592</v>
      </c>
      <c r="D180" s="11" t="s">
        <v>593</v>
      </c>
      <c r="E180" s="10" t="s">
        <v>594</v>
      </c>
      <c r="F180" s="10" t="s">
        <v>67</v>
      </c>
      <c r="G180" s="12"/>
      <c r="H180" s="12"/>
      <c r="I180" s="12"/>
      <c r="J180" s="12"/>
      <c r="K180" s="12"/>
      <c r="L180" s="12"/>
      <c r="M180" s="12"/>
      <c r="N180" s="12"/>
      <c r="O180" s="12"/>
      <c r="P180" s="12"/>
      <c r="Q180" s="12"/>
      <c r="R180" s="12"/>
      <c r="S180" s="12"/>
      <c r="T180" s="12"/>
      <c r="U180" s="12"/>
      <c r="V180" s="12"/>
      <c r="W180" s="12"/>
      <c r="X180" s="12"/>
      <c r="Y180" s="13">
        <v>1</v>
      </c>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3">
        <f t="shared" si="2"/>
        <v>1</v>
      </c>
      <c r="BI180" s="14">
        <f>BH180*7748.4</f>
        <v>7748.4</v>
      </c>
    </row>
    <row r="181" spans="1:61" ht="102" x14ac:dyDescent="0.25">
      <c r="A181" s="10">
        <v>176</v>
      </c>
      <c r="B181" s="11" t="s">
        <v>595</v>
      </c>
      <c r="C181" s="10" t="s">
        <v>595</v>
      </c>
      <c r="D181" s="11" t="s">
        <v>596</v>
      </c>
      <c r="E181" s="10" t="s">
        <v>597</v>
      </c>
      <c r="F181" s="10" t="s">
        <v>67</v>
      </c>
      <c r="G181" s="12"/>
      <c r="H181" s="12"/>
      <c r="I181" s="12"/>
      <c r="J181" s="12"/>
      <c r="K181" s="12"/>
      <c r="L181" s="12"/>
      <c r="M181" s="12"/>
      <c r="N181" s="12"/>
      <c r="O181" s="12"/>
      <c r="P181" s="12"/>
      <c r="Q181" s="12"/>
      <c r="R181" s="12"/>
      <c r="S181" s="12"/>
      <c r="T181" s="12"/>
      <c r="U181" s="12"/>
      <c r="V181" s="12"/>
      <c r="W181" s="12"/>
      <c r="X181" s="12"/>
      <c r="Y181" s="13">
        <v>1</v>
      </c>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3">
        <f t="shared" si="2"/>
        <v>1</v>
      </c>
      <c r="BI181" s="14">
        <f>BH181*7248</f>
        <v>7248</v>
      </c>
    </row>
    <row r="182" spans="1:61" ht="76.5" x14ac:dyDescent="0.25">
      <c r="A182" s="10">
        <v>177</v>
      </c>
      <c r="B182" s="11" t="s">
        <v>598</v>
      </c>
      <c r="C182" s="10" t="s">
        <v>598</v>
      </c>
      <c r="D182" s="11" t="s">
        <v>599</v>
      </c>
      <c r="E182" s="10" t="s">
        <v>600</v>
      </c>
      <c r="F182" s="10" t="s">
        <v>67</v>
      </c>
      <c r="G182" s="12"/>
      <c r="H182" s="12"/>
      <c r="I182" s="12"/>
      <c r="J182" s="12"/>
      <c r="K182" s="12"/>
      <c r="L182" s="12"/>
      <c r="M182" s="12"/>
      <c r="N182" s="12"/>
      <c r="O182" s="12"/>
      <c r="P182" s="12"/>
      <c r="Q182" s="12"/>
      <c r="R182" s="12"/>
      <c r="S182" s="12"/>
      <c r="T182" s="12"/>
      <c r="U182" s="12"/>
      <c r="V182" s="12"/>
      <c r="W182" s="12"/>
      <c r="X182" s="12"/>
      <c r="Y182" s="13">
        <v>1</v>
      </c>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3">
        <f t="shared" si="2"/>
        <v>1</v>
      </c>
      <c r="BI182" s="14">
        <f>BH182*5700</f>
        <v>5700</v>
      </c>
    </row>
    <row r="183" spans="1:61" ht="89.25" x14ac:dyDescent="0.25">
      <c r="A183" s="10">
        <v>178</v>
      </c>
      <c r="B183" s="11" t="s">
        <v>601</v>
      </c>
      <c r="C183" s="10" t="s">
        <v>601</v>
      </c>
      <c r="D183" s="10" t="s">
        <v>602</v>
      </c>
      <c r="E183" s="10" t="s">
        <v>603</v>
      </c>
      <c r="F183" s="10" t="s">
        <v>67</v>
      </c>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3">
        <v>10</v>
      </c>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3">
        <f t="shared" si="2"/>
        <v>10</v>
      </c>
      <c r="BI183" s="14">
        <f>BH183*1136.4</f>
        <v>11364</v>
      </c>
    </row>
    <row r="184" spans="1:61" ht="102" x14ac:dyDescent="0.25">
      <c r="A184" s="10">
        <v>179</v>
      </c>
      <c r="B184" s="11" t="s">
        <v>604</v>
      </c>
      <c r="C184" s="10" t="s">
        <v>604</v>
      </c>
      <c r="D184" s="10" t="s">
        <v>605</v>
      </c>
      <c r="E184" s="10" t="s">
        <v>606</v>
      </c>
      <c r="F184" s="10" t="s">
        <v>67</v>
      </c>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3">
        <v>5</v>
      </c>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3">
        <f t="shared" si="2"/>
        <v>5</v>
      </c>
      <c r="BI184" s="14">
        <f>BH184*3631.2</f>
        <v>18156</v>
      </c>
    </row>
    <row r="185" spans="1:61" ht="89.25" x14ac:dyDescent="0.25">
      <c r="A185" s="10">
        <v>180</v>
      </c>
      <c r="B185" s="11" t="s">
        <v>607</v>
      </c>
      <c r="C185" s="10" t="s">
        <v>607</v>
      </c>
      <c r="D185" s="11" t="s">
        <v>608</v>
      </c>
      <c r="E185" s="10" t="s">
        <v>609</v>
      </c>
      <c r="F185" s="10" t="s">
        <v>67</v>
      </c>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3">
        <v>4</v>
      </c>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3">
        <f t="shared" si="2"/>
        <v>4</v>
      </c>
      <c r="BI185" s="14">
        <f>BH185*1590</f>
        <v>6360</v>
      </c>
    </row>
    <row r="186" spans="1:61" ht="89.25" x14ac:dyDescent="0.25">
      <c r="A186" s="10">
        <v>181</v>
      </c>
      <c r="B186" s="11" t="s">
        <v>610</v>
      </c>
      <c r="C186" s="10" t="s">
        <v>610</v>
      </c>
      <c r="D186" s="11" t="s">
        <v>611</v>
      </c>
      <c r="E186" s="10" t="s">
        <v>612</v>
      </c>
      <c r="F186" s="10" t="s">
        <v>67</v>
      </c>
      <c r="G186" s="12"/>
      <c r="H186" s="12"/>
      <c r="I186" s="12"/>
      <c r="J186" s="12"/>
      <c r="K186" s="12"/>
      <c r="L186" s="12"/>
      <c r="M186" s="12"/>
      <c r="N186" s="12"/>
      <c r="O186" s="12"/>
      <c r="P186" s="12"/>
      <c r="Q186" s="12"/>
      <c r="R186" s="12"/>
      <c r="S186" s="12"/>
      <c r="T186" s="12"/>
      <c r="U186" s="12"/>
      <c r="V186" s="12"/>
      <c r="W186" s="12"/>
      <c r="X186" s="12"/>
      <c r="Y186" s="13">
        <v>2</v>
      </c>
      <c r="Z186" s="12"/>
      <c r="AA186" s="12"/>
      <c r="AB186" s="12"/>
      <c r="AC186" s="12"/>
      <c r="AD186" s="12"/>
      <c r="AE186" s="12"/>
      <c r="AF186" s="12"/>
      <c r="AG186" s="12"/>
      <c r="AH186" s="13">
        <v>4</v>
      </c>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3">
        <f t="shared" si="2"/>
        <v>6</v>
      </c>
      <c r="BI186" s="14">
        <f t="shared" ref="BI186:BI188" si="4">BH186*1590</f>
        <v>9540</v>
      </c>
    </row>
    <row r="187" spans="1:61" ht="102" x14ac:dyDescent="0.25">
      <c r="A187" s="10">
        <v>182</v>
      </c>
      <c r="B187" s="11" t="s">
        <v>613</v>
      </c>
      <c r="C187" s="10" t="s">
        <v>613</v>
      </c>
      <c r="D187" s="10" t="s">
        <v>614</v>
      </c>
      <c r="E187" s="10" t="s">
        <v>615</v>
      </c>
      <c r="F187" s="10" t="s">
        <v>67</v>
      </c>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3">
        <v>8</v>
      </c>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3">
        <f t="shared" si="2"/>
        <v>8</v>
      </c>
      <c r="BI187" s="14">
        <f t="shared" si="4"/>
        <v>12720</v>
      </c>
    </row>
    <row r="188" spans="1:61" ht="102" x14ac:dyDescent="0.25">
      <c r="A188" s="10">
        <v>183</v>
      </c>
      <c r="B188" s="11" t="s">
        <v>616</v>
      </c>
      <c r="C188" s="10" t="s">
        <v>616</v>
      </c>
      <c r="D188" s="10" t="s">
        <v>617</v>
      </c>
      <c r="E188" s="10" t="s">
        <v>618</v>
      </c>
      <c r="F188" s="10" t="s">
        <v>67</v>
      </c>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3">
        <v>6</v>
      </c>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3">
        <f t="shared" si="2"/>
        <v>6</v>
      </c>
      <c r="BI188" s="14">
        <f t="shared" si="4"/>
        <v>9540</v>
      </c>
    </row>
    <row r="189" spans="1:61" ht="76.5" x14ac:dyDescent="0.25">
      <c r="A189" s="10">
        <v>184</v>
      </c>
      <c r="B189" s="11" t="s">
        <v>619</v>
      </c>
      <c r="C189" s="10" t="s">
        <v>619</v>
      </c>
      <c r="D189" s="10" t="s">
        <v>620</v>
      </c>
      <c r="E189" s="10" t="s">
        <v>621</v>
      </c>
      <c r="F189" s="10" t="s">
        <v>67</v>
      </c>
      <c r="G189" s="12"/>
      <c r="H189" s="12"/>
      <c r="I189" s="12"/>
      <c r="J189" s="12"/>
      <c r="K189" s="12"/>
      <c r="L189" s="12"/>
      <c r="M189" s="12"/>
      <c r="N189" s="12"/>
      <c r="O189" s="12"/>
      <c r="P189" s="12"/>
      <c r="Q189" s="12"/>
      <c r="R189" s="12"/>
      <c r="S189" s="12"/>
      <c r="T189" s="12"/>
      <c r="U189" s="12"/>
      <c r="V189" s="12"/>
      <c r="W189" s="12"/>
      <c r="X189" s="12"/>
      <c r="Y189" s="12"/>
      <c r="Z189" s="12"/>
      <c r="AA189" s="12"/>
      <c r="AB189" s="12"/>
      <c r="AC189" s="13">
        <v>1</v>
      </c>
      <c r="AD189" s="12"/>
      <c r="AE189" s="12"/>
      <c r="AF189" s="12"/>
      <c r="AG189" s="13">
        <v>2</v>
      </c>
      <c r="AH189" s="13">
        <v>12</v>
      </c>
      <c r="AI189" s="13">
        <v>1</v>
      </c>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3">
        <f t="shared" si="2"/>
        <v>16</v>
      </c>
      <c r="BI189" s="14">
        <v>5040</v>
      </c>
    </row>
    <row r="190" spans="1:61" ht="76.5" x14ac:dyDescent="0.25">
      <c r="A190" s="10">
        <v>185</v>
      </c>
      <c r="B190" s="11" t="s">
        <v>622</v>
      </c>
      <c r="C190" s="10" t="s">
        <v>622</v>
      </c>
      <c r="D190" s="10" t="s">
        <v>623</v>
      </c>
      <c r="E190" s="10" t="s">
        <v>624</v>
      </c>
      <c r="F190" s="10" t="s">
        <v>67</v>
      </c>
      <c r="G190" s="12"/>
      <c r="H190" s="12"/>
      <c r="I190" s="12"/>
      <c r="J190" s="12"/>
      <c r="K190" s="12"/>
      <c r="L190" s="12"/>
      <c r="M190" s="12"/>
      <c r="N190" s="12"/>
      <c r="O190" s="12"/>
      <c r="P190" s="12"/>
      <c r="Q190" s="12"/>
      <c r="R190" s="12"/>
      <c r="S190" s="12"/>
      <c r="T190" s="12"/>
      <c r="U190" s="12"/>
      <c r="V190" s="12"/>
      <c r="W190" s="12"/>
      <c r="X190" s="12"/>
      <c r="Y190" s="12"/>
      <c r="Z190" s="12"/>
      <c r="AA190" s="12"/>
      <c r="AB190" s="12"/>
      <c r="AC190" s="13">
        <v>4</v>
      </c>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3">
        <f t="shared" si="2"/>
        <v>4</v>
      </c>
      <c r="BI190" s="14">
        <v>3200.0050000000001</v>
      </c>
    </row>
    <row r="191" spans="1:61" ht="76.5" x14ac:dyDescent="0.25">
      <c r="A191" s="10">
        <v>186</v>
      </c>
      <c r="B191" s="11" t="s">
        <v>625</v>
      </c>
      <c r="C191" s="10" t="s">
        <v>625</v>
      </c>
      <c r="D191" s="10" t="s">
        <v>626</v>
      </c>
      <c r="E191" s="10" t="s">
        <v>627</v>
      </c>
      <c r="F191" s="10" t="s">
        <v>67</v>
      </c>
      <c r="G191" s="12"/>
      <c r="H191" s="12"/>
      <c r="I191" s="12"/>
      <c r="J191" s="12"/>
      <c r="K191" s="12"/>
      <c r="L191" s="12"/>
      <c r="M191" s="12"/>
      <c r="N191" s="12"/>
      <c r="O191" s="12"/>
      <c r="P191" s="12"/>
      <c r="Q191" s="12"/>
      <c r="R191" s="12"/>
      <c r="S191" s="12"/>
      <c r="T191" s="12"/>
      <c r="U191" s="12"/>
      <c r="V191" s="12"/>
      <c r="W191" s="12"/>
      <c r="X191" s="12"/>
      <c r="Y191" s="13">
        <v>1</v>
      </c>
      <c r="Z191" s="12"/>
      <c r="AA191" s="12"/>
      <c r="AB191" s="12"/>
      <c r="AC191" s="13">
        <v>4</v>
      </c>
      <c r="AD191" s="12"/>
      <c r="AE191" s="12"/>
      <c r="AF191" s="12"/>
      <c r="AG191" s="12"/>
      <c r="AH191" s="12"/>
      <c r="AI191" s="12"/>
      <c r="AJ191" s="12"/>
      <c r="AK191" s="13">
        <v>1</v>
      </c>
      <c r="AL191" s="12"/>
      <c r="AM191" s="12"/>
      <c r="AN191" s="12"/>
      <c r="AO191" s="13">
        <v>2</v>
      </c>
      <c r="AP191" s="13">
        <v>1</v>
      </c>
      <c r="AQ191" s="12"/>
      <c r="AR191" s="12"/>
      <c r="AS191" s="12"/>
      <c r="AT191" s="12"/>
      <c r="AU191" s="12"/>
      <c r="AV191" s="12"/>
      <c r="AW191" s="12"/>
      <c r="AX191" s="12"/>
      <c r="AY191" s="12"/>
      <c r="AZ191" s="12"/>
      <c r="BA191" s="12"/>
      <c r="BB191" s="12"/>
      <c r="BC191" s="12"/>
      <c r="BD191" s="12"/>
      <c r="BE191" s="12"/>
      <c r="BF191" s="12"/>
      <c r="BG191" s="12"/>
      <c r="BH191" s="13">
        <f t="shared" si="2"/>
        <v>9</v>
      </c>
      <c r="BI191" s="14">
        <v>3200.0044444444447</v>
      </c>
    </row>
    <row r="192" spans="1:61" ht="51" x14ac:dyDescent="0.25">
      <c r="A192" s="10">
        <v>187</v>
      </c>
      <c r="B192" s="11" t="s">
        <v>628</v>
      </c>
      <c r="C192" s="10" t="s">
        <v>628</v>
      </c>
      <c r="D192" s="11" t="s">
        <v>629</v>
      </c>
      <c r="E192" s="10" t="s">
        <v>630</v>
      </c>
      <c r="F192" s="10" t="s">
        <v>67</v>
      </c>
      <c r="G192" s="12"/>
      <c r="H192" s="12"/>
      <c r="I192" s="12"/>
      <c r="J192" s="12"/>
      <c r="K192" s="12"/>
      <c r="L192" s="12"/>
      <c r="M192" s="12"/>
      <c r="N192" s="12"/>
      <c r="O192" s="12"/>
      <c r="P192" s="12"/>
      <c r="Q192" s="12"/>
      <c r="R192" s="12"/>
      <c r="S192" s="12"/>
      <c r="T192" s="12"/>
      <c r="U192" s="12"/>
      <c r="V192" s="12"/>
      <c r="W192" s="12"/>
      <c r="X192" s="19">
        <v>1300</v>
      </c>
      <c r="Y192" s="12"/>
      <c r="Z192" s="12"/>
      <c r="AA192" s="12"/>
      <c r="AB192" s="12"/>
      <c r="AC192" s="13">
        <v>100</v>
      </c>
      <c r="AD192" s="13">
        <v>500</v>
      </c>
      <c r="AE192" s="12"/>
      <c r="AF192" s="13">
        <v>50</v>
      </c>
      <c r="AG192" s="12"/>
      <c r="AH192" s="12"/>
      <c r="AI192" s="12"/>
      <c r="AJ192" s="12"/>
      <c r="AK192" s="12"/>
      <c r="AL192" s="13">
        <v>50</v>
      </c>
      <c r="AM192" s="12"/>
      <c r="AN192" s="12"/>
      <c r="AO192" s="12"/>
      <c r="AP192" s="13">
        <v>150</v>
      </c>
      <c r="AQ192" s="12"/>
      <c r="AR192" s="12"/>
      <c r="AS192" s="13">
        <v>10</v>
      </c>
      <c r="AT192" s="12"/>
      <c r="AU192" s="13">
        <v>100</v>
      </c>
      <c r="AV192" s="13">
        <v>100</v>
      </c>
      <c r="AW192" s="12"/>
      <c r="AX192" s="12"/>
      <c r="AY192" s="12"/>
      <c r="AZ192" s="13">
        <v>50</v>
      </c>
      <c r="BA192" s="13">
        <v>5</v>
      </c>
      <c r="BB192" s="12"/>
      <c r="BC192" s="13">
        <v>100</v>
      </c>
      <c r="BD192" s="12"/>
      <c r="BE192" s="12"/>
      <c r="BF192" s="12"/>
      <c r="BG192" s="12"/>
      <c r="BH192" s="13">
        <f t="shared" si="2"/>
        <v>2515</v>
      </c>
      <c r="BI192" s="14">
        <f>BH192*22.8</f>
        <v>57342</v>
      </c>
    </row>
    <row r="193" spans="1:61" ht="51" x14ac:dyDescent="0.25">
      <c r="A193" s="10">
        <v>188</v>
      </c>
      <c r="B193" s="11" t="s">
        <v>631</v>
      </c>
      <c r="C193" s="10" t="s">
        <v>631</v>
      </c>
      <c r="D193" s="11" t="s">
        <v>632</v>
      </c>
      <c r="E193" s="10" t="s">
        <v>633</v>
      </c>
      <c r="F193" s="10" t="s">
        <v>67</v>
      </c>
      <c r="G193" s="12"/>
      <c r="H193" s="12"/>
      <c r="I193" s="12"/>
      <c r="J193" s="12"/>
      <c r="K193" s="12"/>
      <c r="L193" s="12"/>
      <c r="M193" s="12"/>
      <c r="N193" s="12"/>
      <c r="O193" s="12"/>
      <c r="P193" s="12"/>
      <c r="Q193" s="12"/>
      <c r="R193" s="12"/>
      <c r="S193" s="12"/>
      <c r="T193" s="12"/>
      <c r="U193" s="12"/>
      <c r="V193" s="12"/>
      <c r="W193" s="12"/>
      <c r="X193" s="13">
        <v>700</v>
      </c>
      <c r="Y193" s="12"/>
      <c r="Z193" s="12"/>
      <c r="AA193" s="12"/>
      <c r="AB193" s="12"/>
      <c r="AC193" s="13">
        <v>100</v>
      </c>
      <c r="AD193" s="13">
        <v>500</v>
      </c>
      <c r="AE193" s="12"/>
      <c r="AF193" s="13">
        <v>50</v>
      </c>
      <c r="AG193" s="12"/>
      <c r="AH193" s="12"/>
      <c r="AI193" s="12"/>
      <c r="AJ193" s="12"/>
      <c r="AK193" s="12"/>
      <c r="AL193" s="13">
        <v>250</v>
      </c>
      <c r="AM193" s="12"/>
      <c r="AN193" s="12"/>
      <c r="AO193" s="12"/>
      <c r="AP193" s="13">
        <v>150</v>
      </c>
      <c r="AQ193" s="12"/>
      <c r="AR193" s="13">
        <v>150</v>
      </c>
      <c r="AS193" s="13">
        <v>30</v>
      </c>
      <c r="AT193" s="13">
        <v>100</v>
      </c>
      <c r="AU193" s="13">
        <v>100</v>
      </c>
      <c r="AV193" s="13">
        <v>100</v>
      </c>
      <c r="AW193" s="12"/>
      <c r="AX193" s="12"/>
      <c r="AY193" s="12"/>
      <c r="AZ193" s="13">
        <v>200</v>
      </c>
      <c r="BA193" s="13">
        <v>5</v>
      </c>
      <c r="BB193" s="12"/>
      <c r="BC193" s="13">
        <v>150</v>
      </c>
      <c r="BD193" s="12"/>
      <c r="BE193" s="12"/>
      <c r="BF193" s="12"/>
      <c r="BG193" s="12"/>
      <c r="BH193" s="13">
        <f t="shared" si="2"/>
        <v>2585</v>
      </c>
      <c r="BI193" s="14">
        <f>BH193*26.4</f>
        <v>68244</v>
      </c>
    </row>
    <row r="194" spans="1:61" ht="51" x14ac:dyDescent="0.25">
      <c r="A194" s="10">
        <v>189</v>
      </c>
      <c r="B194" s="11" t="s">
        <v>634</v>
      </c>
      <c r="C194" s="10" t="s">
        <v>634</v>
      </c>
      <c r="D194" s="10" t="s">
        <v>635</v>
      </c>
      <c r="E194" s="10" t="s">
        <v>636</v>
      </c>
      <c r="F194" s="10" t="s">
        <v>67</v>
      </c>
      <c r="G194" s="12"/>
      <c r="H194" s="12"/>
      <c r="I194" s="12"/>
      <c r="J194" s="12"/>
      <c r="K194" s="12"/>
      <c r="L194" s="12"/>
      <c r="M194" s="12"/>
      <c r="N194" s="12"/>
      <c r="O194" s="12"/>
      <c r="P194" s="12"/>
      <c r="Q194" s="12"/>
      <c r="R194" s="12"/>
      <c r="S194" s="12"/>
      <c r="T194" s="12"/>
      <c r="U194" s="12"/>
      <c r="V194" s="12"/>
      <c r="W194" s="12"/>
      <c r="X194" s="13">
        <v>3</v>
      </c>
      <c r="Y194" s="12"/>
      <c r="Z194" s="12"/>
      <c r="AA194" s="12"/>
      <c r="AB194" s="12"/>
      <c r="AC194" s="13">
        <v>30</v>
      </c>
      <c r="AD194" s="12"/>
      <c r="AE194" s="12"/>
      <c r="AF194" s="13">
        <v>1</v>
      </c>
      <c r="AG194" s="12"/>
      <c r="AH194" s="12"/>
      <c r="AI194" s="12"/>
      <c r="AJ194" s="12"/>
      <c r="AK194" s="12"/>
      <c r="AL194" s="13">
        <v>2</v>
      </c>
      <c r="AM194" s="12"/>
      <c r="AN194" s="12"/>
      <c r="AO194" s="13">
        <v>5</v>
      </c>
      <c r="AP194" s="13">
        <v>1</v>
      </c>
      <c r="AQ194" s="12"/>
      <c r="AR194" s="13">
        <v>10</v>
      </c>
      <c r="AS194" s="12"/>
      <c r="AT194" s="13">
        <v>1</v>
      </c>
      <c r="AU194" s="13">
        <v>5</v>
      </c>
      <c r="AV194" s="13">
        <v>5</v>
      </c>
      <c r="AW194" s="12"/>
      <c r="AX194" s="12"/>
      <c r="AY194" s="12"/>
      <c r="AZ194" s="12"/>
      <c r="BA194" s="12"/>
      <c r="BB194" s="12"/>
      <c r="BC194" s="12"/>
      <c r="BD194" s="12"/>
      <c r="BE194" s="12"/>
      <c r="BF194" s="12"/>
      <c r="BG194" s="12"/>
      <c r="BH194" s="13">
        <f t="shared" si="2"/>
        <v>63</v>
      </c>
      <c r="BI194" s="14">
        <f>BH194*600</f>
        <v>37800</v>
      </c>
    </row>
    <row r="195" spans="1:61" ht="51" x14ac:dyDescent="0.25">
      <c r="A195" s="10">
        <v>190</v>
      </c>
      <c r="B195" s="11" t="s">
        <v>637</v>
      </c>
      <c r="C195" s="10" t="s">
        <v>637</v>
      </c>
      <c r="D195" s="11" t="s">
        <v>638</v>
      </c>
      <c r="E195" s="10" t="s">
        <v>639</v>
      </c>
      <c r="F195" s="10" t="s">
        <v>67</v>
      </c>
      <c r="G195" s="12"/>
      <c r="H195" s="12"/>
      <c r="I195" s="12"/>
      <c r="J195" s="12"/>
      <c r="K195" s="12"/>
      <c r="L195" s="12"/>
      <c r="M195" s="12"/>
      <c r="N195" s="12"/>
      <c r="O195" s="12"/>
      <c r="P195" s="12"/>
      <c r="Q195" s="12"/>
      <c r="R195" s="12"/>
      <c r="S195" s="12"/>
      <c r="T195" s="12"/>
      <c r="U195" s="12"/>
      <c r="V195" s="12"/>
      <c r="W195" s="12"/>
      <c r="X195" s="13">
        <v>3</v>
      </c>
      <c r="Y195" s="12"/>
      <c r="Z195" s="12"/>
      <c r="AA195" s="12"/>
      <c r="AB195" s="12"/>
      <c r="AC195" s="13">
        <v>30</v>
      </c>
      <c r="AD195" s="12"/>
      <c r="AE195" s="12"/>
      <c r="AF195" s="13">
        <v>1</v>
      </c>
      <c r="AG195" s="12"/>
      <c r="AH195" s="12"/>
      <c r="AI195" s="12"/>
      <c r="AJ195" s="12"/>
      <c r="AK195" s="12"/>
      <c r="AL195" s="13">
        <v>1</v>
      </c>
      <c r="AM195" s="12"/>
      <c r="AN195" s="12"/>
      <c r="AO195" s="12"/>
      <c r="AP195" s="13">
        <v>1</v>
      </c>
      <c r="AQ195" s="12"/>
      <c r="AR195" s="13">
        <v>5</v>
      </c>
      <c r="AS195" s="12"/>
      <c r="AT195" s="13">
        <v>1</v>
      </c>
      <c r="AU195" s="13">
        <v>5</v>
      </c>
      <c r="AV195" s="13">
        <v>5</v>
      </c>
      <c r="AW195" s="12"/>
      <c r="AX195" s="12"/>
      <c r="AY195" s="12"/>
      <c r="AZ195" s="12"/>
      <c r="BA195" s="12"/>
      <c r="BB195" s="12"/>
      <c r="BC195" s="12"/>
      <c r="BD195" s="12"/>
      <c r="BE195" s="12"/>
      <c r="BF195" s="12"/>
      <c r="BG195" s="12"/>
      <c r="BH195" s="13">
        <f t="shared" si="2"/>
        <v>52</v>
      </c>
      <c r="BI195" s="14">
        <f>BH195*600</f>
        <v>31200</v>
      </c>
    </row>
    <row r="196" spans="1:61" ht="51" x14ac:dyDescent="0.25">
      <c r="A196" s="10">
        <v>191</v>
      </c>
      <c r="B196" s="11" t="s">
        <v>640</v>
      </c>
      <c r="C196" s="10" t="s">
        <v>640</v>
      </c>
      <c r="D196" s="11" t="s">
        <v>641</v>
      </c>
      <c r="E196" s="10" t="s">
        <v>642</v>
      </c>
      <c r="F196" s="10" t="s">
        <v>67</v>
      </c>
      <c r="G196" s="12"/>
      <c r="H196" s="12"/>
      <c r="I196" s="12"/>
      <c r="J196" s="12"/>
      <c r="K196" s="12"/>
      <c r="L196" s="12"/>
      <c r="M196" s="12"/>
      <c r="N196" s="12"/>
      <c r="O196" s="12"/>
      <c r="P196" s="12"/>
      <c r="Q196" s="12"/>
      <c r="R196" s="12"/>
      <c r="S196" s="12"/>
      <c r="T196" s="12"/>
      <c r="U196" s="12"/>
      <c r="V196" s="12"/>
      <c r="W196" s="12"/>
      <c r="X196" s="13">
        <v>3</v>
      </c>
      <c r="Y196" s="12"/>
      <c r="Z196" s="12"/>
      <c r="AA196" s="12"/>
      <c r="AB196" s="12"/>
      <c r="AC196" s="13">
        <v>30</v>
      </c>
      <c r="AD196" s="12"/>
      <c r="AE196" s="12"/>
      <c r="AF196" s="13">
        <v>1</v>
      </c>
      <c r="AG196" s="12"/>
      <c r="AH196" s="12"/>
      <c r="AI196" s="12"/>
      <c r="AJ196" s="12"/>
      <c r="AK196" s="12"/>
      <c r="AL196" s="13">
        <v>1</v>
      </c>
      <c r="AM196" s="12"/>
      <c r="AN196" s="12"/>
      <c r="AO196" s="13">
        <v>5</v>
      </c>
      <c r="AP196" s="12"/>
      <c r="AQ196" s="12"/>
      <c r="AR196" s="12"/>
      <c r="AS196" s="12"/>
      <c r="AT196" s="12"/>
      <c r="AU196" s="13">
        <v>3</v>
      </c>
      <c r="AV196" s="13">
        <v>5</v>
      </c>
      <c r="AW196" s="12"/>
      <c r="AX196" s="12"/>
      <c r="AY196" s="12"/>
      <c r="AZ196" s="12"/>
      <c r="BA196" s="12"/>
      <c r="BB196" s="12"/>
      <c r="BC196" s="12"/>
      <c r="BD196" s="12"/>
      <c r="BE196" s="12"/>
      <c r="BF196" s="12"/>
      <c r="BG196" s="12"/>
      <c r="BH196" s="13">
        <f t="shared" si="2"/>
        <v>48</v>
      </c>
      <c r="BI196" s="14">
        <f>BH196*330</f>
        <v>15840</v>
      </c>
    </row>
    <row r="197" spans="1:61" ht="51" x14ac:dyDescent="0.25">
      <c r="A197" s="10">
        <v>192</v>
      </c>
      <c r="B197" s="11" t="s">
        <v>643</v>
      </c>
      <c r="C197" s="10" t="s">
        <v>643</v>
      </c>
      <c r="D197" s="11" t="s">
        <v>644</v>
      </c>
      <c r="E197" s="10" t="s">
        <v>645</v>
      </c>
      <c r="F197" s="10" t="s">
        <v>67</v>
      </c>
      <c r="G197" s="12"/>
      <c r="H197" s="12"/>
      <c r="I197" s="12"/>
      <c r="J197" s="12"/>
      <c r="K197" s="12"/>
      <c r="L197" s="12"/>
      <c r="M197" s="12"/>
      <c r="N197" s="12"/>
      <c r="O197" s="12"/>
      <c r="P197" s="12"/>
      <c r="Q197" s="12"/>
      <c r="R197" s="12"/>
      <c r="S197" s="12"/>
      <c r="T197" s="12"/>
      <c r="U197" s="12"/>
      <c r="V197" s="12"/>
      <c r="W197" s="12"/>
      <c r="X197" s="12"/>
      <c r="Y197" s="12"/>
      <c r="Z197" s="12"/>
      <c r="AA197" s="12"/>
      <c r="AB197" s="12"/>
      <c r="AC197" s="13">
        <v>10</v>
      </c>
      <c r="AD197" s="12"/>
      <c r="AE197" s="12"/>
      <c r="AF197" s="13">
        <v>1</v>
      </c>
      <c r="AG197" s="12"/>
      <c r="AH197" s="12"/>
      <c r="AI197" s="12"/>
      <c r="AJ197" s="12"/>
      <c r="AK197" s="12"/>
      <c r="AL197" s="13">
        <v>1</v>
      </c>
      <c r="AM197" s="12"/>
      <c r="AN197" s="12"/>
      <c r="AO197" s="12"/>
      <c r="AP197" s="12"/>
      <c r="AQ197" s="12"/>
      <c r="AR197" s="13">
        <v>5</v>
      </c>
      <c r="AS197" s="12"/>
      <c r="AT197" s="12"/>
      <c r="AU197" s="12"/>
      <c r="AV197" s="12"/>
      <c r="AW197" s="12"/>
      <c r="AX197" s="12"/>
      <c r="AY197" s="12"/>
      <c r="AZ197" s="12"/>
      <c r="BA197" s="12"/>
      <c r="BB197" s="12"/>
      <c r="BC197" s="12"/>
      <c r="BD197" s="12"/>
      <c r="BE197" s="12"/>
      <c r="BF197" s="12"/>
      <c r="BG197" s="12"/>
      <c r="BH197" s="13">
        <f t="shared" si="2"/>
        <v>17</v>
      </c>
      <c r="BI197" s="14">
        <f>BH197*330</f>
        <v>5610</v>
      </c>
    </row>
    <row r="198" spans="1:61" ht="51" x14ac:dyDescent="0.25">
      <c r="A198" s="10">
        <v>193</v>
      </c>
      <c r="B198" s="11" t="s">
        <v>646</v>
      </c>
      <c r="C198" s="10" t="s">
        <v>646</v>
      </c>
      <c r="D198" s="11" t="s">
        <v>647</v>
      </c>
      <c r="E198" s="10" t="s">
        <v>648</v>
      </c>
      <c r="F198" s="10" t="s">
        <v>67</v>
      </c>
      <c r="G198" s="12"/>
      <c r="H198" s="12"/>
      <c r="I198" s="12"/>
      <c r="J198" s="12"/>
      <c r="K198" s="12"/>
      <c r="L198" s="12"/>
      <c r="M198" s="12"/>
      <c r="N198" s="12"/>
      <c r="O198" s="12"/>
      <c r="P198" s="12"/>
      <c r="Q198" s="12"/>
      <c r="R198" s="12"/>
      <c r="S198" s="12"/>
      <c r="T198" s="12"/>
      <c r="U198" s="12"/>
      <c r="V198" s="12"/>
      <c r="W198" s="12"/>
      <c r="X198" s="13">
        <v>3</v>
      </c>
      <c r="Y198" s="12"/>
      <c r="Z198" s="12"/>
      <c r="AA198" s="12"/>
      <c r="AB198" s="12"/>
      <c r="AC198" s="13">
        <v>20</v>
      </c>
      <c r="AD198" s="12"/>
      <c r="AE198" s="12"/>
      <c r="AF198" s="13">
        <v>1</v>
      </c>
      <c r="AG198" s="12"/>
      <c r="AH198" s="12"/>
      <c r="AI198" s="12"/>
      <c r="AJ198" s="12"/>
      <c r="AK198" s="12"/>
      <c r="AL198" s="12"/>
      <c r="AM198" s="12"/>
      <c r="AN198" s="12"/>
      <c r="AO198" s="13">
        <v>5</v>
      </c>
      <c r="AP198" s="13">
        <v>1</v>
      </c>
      <c r="AQ198" s="12"/>
      <c r="AR198" s="13">
        <v>5</v>
      </c>
      <c r="AS198" s="12"/>
      <c r="AT198" s="12"/>
      <c r="AU198" s="13">
        <v>5</v>
      </c>
      <c r="AV198" s="12"/>
      <c r="AW198" s="12"/>
      <c r="AX198" s="12"/>
      <c r="AY198" s="12"/>
      <c r="AZ198" s="12"/>
      <c r="BA198" s="12"/>
      <c r="BB198" s="12"/>
      <c r="BC198" s="12"/>
      <c r="BD198" s="12"/>
      <c r="BE198" s="12"/>
      <c r="BF198" s="12"/>
      <c r="BG198" s="12"/>
      <c r="BH198" s="13">
        <f t="shared" ref="BH198:BH261" si="5">SUM(G198:BG198)</f>
        <v>40</v>
      </c>
      <c r="BI198" s="14">
        <f>BH198*330</f>
        <v>13200</v>
      </c>
    </row>
    <row r="199" spans="1:61" ht="51" x14ac:dyDescent="0.25">
      <c r="A199" s="10">
        <v>194</v>
      </c>
      <c r="B199" s="11" t="s">
        <v>649</v>
      </c>
      <c r="C199" s="10" t="s">
        <v>649</v>
      </c>
      <c r="D199" s="11" t="s">
        <v>650</v>
      </c>
      <c r="E199" s="10" t="s">
        <v>651</v>
      </c>
      <c r="F199" s="10" t="s">
        <v>67</v>
      </c>
      <c r="G199" s="12"/>
      <c r="H199" s="12"/>
      <c r="I199" s="12"/>
      <c r="J199" s="12"/>
      <c r="K199" s="12"/>
      <c r="L199" s="12"/>
      <c r="M199" s="12"/>
      <c r="N199" s="12"/>
      <c r="O199" s="12"/>
      <c r="P199" s="12"/>
      <c r="Q199" s="12"/>
      <c r="R199" s="12"/>
      <c r="S199" s="12"/>
      <c r="T199" s="12"/>
      <c r="U199" s="12"/>
      <c r="V199" s="12"/>
      <c r="W199" s="12"/>
      <c r="X199" s="13">
        <v>3</v>
      </c>
      <c r="Y199" s="12"/>
      <c r="Z199" s="12"/>
      <c r="AA199" s="12"/>
      <c r="AB199" s="12"/>
      <c r="AC199" s="13">
        <v>30</v>
      </c>
      <c r="AD199" s="12"/>
      <c r="AE199" s="12"/>
      <c r="AF199" s="13">
        <v>1</v>
      </c>
      <c r="AG199" s="12"/>
      <c r="AH199" s="12"/>
      <c r="AI199" s="12"/>
      <c r="AJ199" s="12"/>
      <c r="AK199" s="12"/>
      <c r="AL199" s="12"/>
      <c r="AM199" s="12"/>
      <c r="AN199" s="12"/>
      <c r="AO199" s="12"/>
      <c r="AP199" s="12"/>
      <c r="AQ199" s="12"/>
      <c r="AR199" s="12"/>
      <c r="AS199" s="12"/>
      <c r="AT199" s="12"/>
      <c r="AU199" s="13">
        <v>5</v>
      </c>
      <c r="AV199" s="13">
        <v>5</v>
      </c>
      <c r="AW199" s="12"/>
      <c r="AX199" s="12"/>
      <c r="AY199" s="12"/>
      <c r="AZ199" s="12"/>
      <c r="BA199" s="12"/>
      <c r="BB199" s="12"/>
      <c r="BC199" s="12"/>
      <c r="BD199" s="12"/>
      <c r="BE199" s="12"/>
      <c r="BF199" s="12"/>
      <c r="BG199" s="12"/>
      <c r="BH199" s="13">
        <f t="shared" si="5"/>
        <v>44</v>
      </c>
      <c r="BI199" s="14">
        <f>BH199*600</f>
        <v>26400</v>
      </c>
    </row>
    <row r="200" spans="1:61" ht="51" x14ac:dyDescent="0.25">
      <c r="A200" s="10">
        <v>195</v>
      </c>
      <c r="B200" s="11" t="s">
        <v>652</v>
      </c>
      <c r="C200" s="10" t="s">
        <v>652</v>
      </c>
      <c r="D200" s="11" t="s">
        <v>653</v>
      </c>
      <c r="E200" s="10" t="s">
        <v>654</v>
      </c>
      <c r="F200" s="10" t="s">
        <v>67</v>
      </c>
      <c r="G200" s="12"/>
      <c r="H200" s="12"/>
      <c r="I200" s="12"/>
      <c r="J200" s="12"/>
      <c r="K200" s="12"/>
      <c r="L200" s="12"/>
      <c r="M200" s="12"/>
      <c r="N200" s="12"/>
      <c r="O200" s="12"/>
      <c r="P200" s="12"/>
      <c r="Q200" s="12"/>
      <c r="R200" s="12"/>
      <c r="S200" s="12"/>
      <c r="T200" s="12"/>
      <c r="U200" s="12"/>
      <c r="V200" s="12"/>
      <c r="W200" s="12"/>
      <c r="X200" s="12"/>
      <c r="Y200" s="12"/>
      <c r="Z200" s="12"/>
      <c r="AA200" s="12"/>
      <c r="AB200" s="12"/>
      <c r="AC200" s="13">
        <v>20</v>
      </c>
      <c r="AD200" s="12"/>
      <c r="AE200" s="12"/>
      <c r="AF200" s="13">
        <v>1</v>
      </c>
      <c r="AG200" s="12"/>
      <c r="AH200" s="12"/>
      <c r="AI200" s="12"/>
      <c r="AJ200" s="12"/>
      <c r="AK200" s="12"/>
      <c r="AL200" s="13">
        <v>1</v>
      </c>
      <c r="AM200" s="12"/>
      <c r="AN200" s="12"/>
      <c r="AO200" s="13">
        <v>5</v>
      </c>
      <c r="AP200" s="13">
        <v>1</v>
      </c>
      <c r="AQ200" s="12"/>
      <c r="AR200" s="13">
        <v>5</v>
      </c>
      <c r="AS200" s="13">
        <v>2</v>
      </c>
      <c r="AT200" s="12"/>
      <c r="AU200" s="13">
        <v>3</v>
      </c>
      <c r="AV200" s="13">
        <v>5</v>
      </c>
      <c r="AW200" s="12"/>
      <c r="AX200" s="12"/>
      <c r="AY200" s="12"/>
      <c r="AZ200" s="13">
        <v>3</v>
      </c>
      <c r="BA200" s="12"/>
      <c r="BB200" s="12"/>
      <c r="BC200" s="12"/>
      <c r="BD200" s="12"/>
      <c r="BE200" s="12"/>
      <c r="BF200" s="12"/>
      <c r="BG200" s="12"/>
      <c r="BH200" s="13">
        <f t="shared" si="5"/>
        <v>46</v>
      </c>
      <c r="BI200" s="14">
        <f>BH200*330</f>
        <v>15180</v>
      </c>
    </row>
    <row r="201" spans="1:61" ht="51" x14ac:dyDescent="0.25">
      <c r="A201" s="10">
        <v>196</v>
      </c>
      <c r="B201" s="11" t="s">
        <v>655</v>
      </c>
      <c r="C201" s="10" t="s">
        <v>655</v>
      </c>
      <c r="D201" s="11" t="s">
        <v>656</v>
      </c>
      <c r="E201" s="10" t="s">
        <v>657</v>
      </c>
      <c r="F201" s="10" t="s">
        <v>67</v>
      </c>
      <c r="G201" s="12"/>
      <c r="H201" s="12"/>
      <c r="I201" s="12"/>
      <c r="J201" s="12"/>
      <c r="K201" s="12"/>
      <c r="L201" s="12"/>
      <c r="M201" s="12"/>
      <c r="N201" s="12"/>
      <c r="O201" s="12"/>
      <c r="P201" s="12"/>
      <c r="Q201" s="12"/>
      <c r="R201" s="12"/>
      <c r="S201" s="12"/>
      <c r="T201" s="12"/>
      <c r="U201" s="12"/>
      <c r="V201" s="12"/>
      <c r="W201" s="12"/>
      <c r="X201" s="13">
        <v>3</v>
      </c>
      <c r="Y201" s="12"/>
      <c r="Z201" s="12"/>
      <c r="AA201" s="12"/>
      <c r="AB201" s="12"/>
      <c r="AC201" s="13">
        <v>10</v>
      </c>
      <c r="AD201" s="12"/>
      <c r="AE201" s="12"/>
      <c r="AF201" s="13">
        <v>1</v>
      </c>
      <c r="AG201" s="12"/>
      <c r="AH201" s="12"/>
      <c r="AI201" s="12"/>
      <c r="AJ201" s="12"/>
      <c r="AK201" s="12"/>
      <c r="AL201" s="12"/>
      <c r="AM201" s="12"/>
      <c r="AN201" s="12"/>
      <c r="AO201" s="12"/>
      <c r="AP201" s="13">
        <v>1</v>
      </c>
      <c r="AQ201" s="12"/>
      <c r="AR201" s="12"/>
      <c r="AS201" s="12"/>
      <c r="AT201" s="12"/>
      <c r="AU201" s="12"/>
      <c r="AV201" s="13">
        <v>5</v>
      </c>
      <c r="AW201" s="12"/>
      <c r="AX201" s="12"/>
      <c r="AY201" s="12"/>
      <c r="AZ201" s="13">
        <v>3</v>
      </c>
      <c r="BA201" s="12"/>
      <c r="BB201" s="12"/>
      <c r="BC201" s="12"/>
      <c r="BD201" s="12"/>
      <c r="BE201" s="12"/>
      <c r="BF201" s="12"/>
      <c r="BG201" s="12"/>
      <c r="BH201" s="13">
        <f t="shared" si="5"/>
        <v>23</v>
      </c>
      <c r="BI201" s="14">
        <f>BH201*330</f>
        <v>7590</v>
      </c>
    </row>
    <row r="202" spans="1:61" ht="51" x14ac:dyDescent="0.25">
      <c r="A202" s="10">
        <v>197</v>
      </c>
      <c r="B202" s="11" t="s">
        <v>658</v>
      </c>
      <c r="C202" s="10" t="s">
        <v>658</v>
      </c>
      <c r="D202" s="11" t="s">
        <v>659</v>
      </c>
      <c r="E202" s="10" t="s">
        <v>660</v>
      </c>
      <c r="F202" s="10" t="s">
        <v>67</v>
      </c>
      <c r="G202" s="12"/>
      <c r="H202" s="12"/>
      <c r="I202" s="12"/>
      <c r="J202" s="12"/>
      <c r="K202" s="12"/>
      <c r="L202" s="12"/>
      <c r="M202" s="12"/>
      <c r="N202" s="12"/>
      <c r="O202" s="12"/>
      <c r="P202" s="12"/>
      <c r="Q202" s="12"/>
      <c r="R202" s="12"/>
      <c r="S202" s="12"/>
      <c r="T202" s="12"/>
      <c r="U202" s="12"/>
      <c r="V202" s="12"/>
      <c r="W202" s="12"/>
      <c r="X202" s="12"/>
      <c r="Y202" s="13">
        <v>1</v>
      </c>
      <c r="Z202" s="12"/>
      <c r="AA202" s="12"/>
      <c r="AB202" s="12"/>
      <c r="AC202" s="13">
        <v>2</v>
      </c>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3">
        <f t="shared" si="5"/>
        <v>3</v>
      </c>
      <c r="BI202" s="14">
        <f>BH202*2000.00333333333</f>
        <v>6000.0099999999893</v>
      </c>
    </row>
    <row r="203" spans="1:61" ht="51" x14ac:dyDescent="0.25">
      <c r="A203" s="10">
        <v>198</v>
      </c>
      <c r="B203" s="11" t="s">
        <v>661</v>
      </c>
      <c r="C203" s="10" t="s">
        <v>661</v>
      </c>
      <c r="D203" s="11" t="s">
        <v>662</v>
      </c>
      <c r="E203" s="10" t="s">
        <v>663</v>
      </c>
      <c r="F203" s="10" t="s">
        <v>67</v>
      </c>
      <c r="G203" s="12"/>
      <c r="H203" s="12"/>
      <c r="I203" s="12"/>
      <c r="J203" s="12"/>
      <c r="K203" s="12"/>
      <c r="L203" s="12"/>
      <c r="M203" s="12"/>
      <c r="N203" s="12"/>
      <c r="O203" s="12"/>
      <c r="P203" s="12"/>
      <c r="Q203" s="12"/>
      <c r="R203" s="12"/>
      <c r="S203" s="12"/>
      <c r="T203" s="12"/>
      <c r="U203" s="12"/>
      <c r="V203" s="12"/>
      <c r="W203" s="12"/>
      <c r="X203" s="12"/>
      <c r="Y203" s="13">
        <v>1</v>
      </c>
      <c r="Z203" s="12"/>
      <c r="AA203" s="12"/>
      <c r="AB203" s="12"/>
      <c r="AC203" s="13">
        <v>5</v>
      </c>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3">
        <v>1</v>
      </c>
      <c r="BE203" s="12"/>
      <c r="BF203" s="12"/>
      <c r="BG203" s="12"/>
      <c r="BH203" s="13">
        <f t="shared" si="5"/>
        <v>7</v>
      </c>
      <c r="BI203" s="14">
        <f>BH203*1749.6</f>
        <v>12247.199999999999</v>
      </c>
    </row>
    <row r="204" spans="1:61" ht="51" x14ac:dyDescent="0.25">
      <c r="A204" s="10">
        <v>199</v>
      </c>
      <c r="B204" s="11" t="s">
        <v>664</v>
      </c>
      <c r="C204" s="10" t="s">
        <v>664</v>
      </c>
      <c r="D204" s="11" t="s">
        <v>665</v>
      </c>
      <c r="E204" s="10" t="s">
        <v>666</v>
      </c>
      <c r="F204" s="10" t="s">
        <v>67</v>
      </c>
      <c r="G204" s="12"/>
      <c r="H204" s="12"/>
      <c r="I204" s="12"/>
      <c r="J204" s="12"/>
      <c r="K204" s="12"/>
      <c r="L204" s="12"/>
      <c r="M204" s="12"/>
      <c r="N204" s="12"/>
      <c r="O204" s="12"/>
      <c r="P204" s="12"/>
      <c r="Q204" s="12"/>
      <c r="R204" s="12"/>
      <c r="S204" s="12"/>
      <c r="T204" s="12"/>
      <c r="U204" s="12"/>
      <c r="V204" s="12"/>
      <c r="W204" s="12"/>
      <c r="X204" s="12"/>
      <c r="Y204" s="12"/>
      <c r="Z204" s="12"/>
      <c r="AA204" s="12"/>
      <c r="AB204" s="12"/>
      <c r="AC204" s="13">
        <v>5</v>
      </c>
      <c r="AD204" s="12"/>
      <c r="AE204" s="12"/>
      <c r="AF204" s="12"/>
      <c r="AG204" s="12"/>
      <c r="AH204" s="12"/>
      <c r="AI204" s="12"/>
      <c r="AJ204" s="12"/>
      <c r="AK204" s="12"/>
      <c r="AL204" s="12"/>
      <c r="AM204" s="12"/>
      <c r="AN204" s="12"/>
      <c r="AO204" s="12"/>
      <c r="AP204" s="12"/>
      <c r="AQ204" s="12"/>
      <c r="AR204" s="12"/>
      <c r="AS204" s="12"/>
      <c r="AT204" s="12"/>
      <c r="AU204" s="13">
        <v>1</v>
      </c>
      <c r="AV204" s="12"/>
      <c r="AW204" s="12"/>
      <c r="AX204" s="12"/>
      <c r="AY204" s="12"/>
      <c r="AZ204" s="12"/>
      <c r="BA204" s="12"/>
      <c r="BB204" s="12"/>
      <c r="BC204" s="12"/>
      <c r="BD204" s="13">
        <v>1</v>
      </c>
      <c r="BE204" s="12"/>
      <c r="BF204" s="12"/>
      <c r="BG204" s="12"/>
      <c r="BH204" s="13">
        <f t="shared" si="5"/>
        <v>7</v>
      </c>
      <c r="BI204" s="14">
        <f>BH204*1617.6</f>
        <v>11323.199999999999</v>
      </c>
    </row>
    <row r="205" spans="1:61" ht="51" x14ac:dyDescent="0.25">
      <c r="A205" s="10">
        <v>200</v>
      </c>
      <c r="B205" s="11" t="s">
        <v>667</v>
      </c>
      <c r="C205" s="10" t="s">
        <v>667</v>
      </c>
      <c r="D205" s="11" t="s">
        <v>668</v>
      </c>
      <c r="E205" s="10" t="s">
        <v>669</v>
      </c>
      <c r="F205" s="10" t="s">
        <v>67</v>
      </c>
      <c r="G205" s="12"/>
      <c r="H205" s="12"/>
      <c r="I205" s="12"/>
      <c r="J205" s="12"/>
      <c r="K205" s="12"/>
      <c r="L205" s="12"/>
      <c r="M205" s="12"/>
      <c r="N205" s="12"/>
      <c r="O205" s="12"/>
      <c r="P205" s="12"/>
      <c r="Q205" s="12"/>
      <c r="R205" s="12"/>
      <c r="S205" s="12"/>
      <c r="T205" s="12"/>
      <c r="U205" s="12"/>
      <c r="V205" s="12"/>
      <c r="W205" s="12"/>
      <c r="X205" s="12"/>
      <c r="Y205" s="13">
        <v>1</v>
      </c>
      <c r="Z205" s="12"/>
      <c r="AA205" s="12"/>
      <c r="AB205" s="12"/>
      <c r="AC205" s="13">
        <v>5</v>
      </c>
      <c r="AD205" s="12"/>
      <c r="AE205" s="12"/>
      <c r="AF205" s="12"/>
      <c r="AG205" s="12"/>
      <c r="AH205" s="12"/>
      <c r="AI205" s="12"/>
      <c r="AJ205" s="12"/>
      <c r="AK205" s="12"/>
      <c r="AL205" s="12"/>
      <c r="AM205" s="12"/>
      <c r="AN205" s="12"/>
      <c r="AO205" s="12"/>
      <c r="AP205" s="12"/>
      <c r="AQ205" s="12"/>
      <c r="AR205" s="12"/>
      <c r="AS205" s="12"/>
      <c r="AT205" s="12"/>
      <c r="AU205" s="13">
        <v>1</v>
      </c>
      <c r="AV205" s="12"/>
      <c r="AW205" s="12"/>
      <c r="AX205" s="12"/>
      <c r="AY205" s="12"/>
      <c r="AZ205" s="12"/>
      <c r="BA205" s="12"/>
      <c r="BB205" s="12"/>
      <c r="BC205" s="12"/>
      <c r="BD205" s="12"/>
      <c r="BE205" s="12"/>
      <c r="BF205" s="12"/>
      <c r="BG205" s="12"/>
      <c r="BH205" s="13">
        <f t="shared" si="5"/>
        <v>7</v>
      </c>
      <c r="BI205" s="14">
        <f>BH205*1617.6</f>
        <v>11323.199999999999</v>
      </c>
    </row>
    <row r="206" spans="1:61" ht="89.25" x14ac:dyDescent="0.25">
      <c r="A206" s="10">
        <v>201</v>
      </c>
      <c r="B206" s="11" t="s">
        <v>670</v>
      </c>
      <c r="C206" s="10" t="s">
        <v>670</v>
      </c>
      <c r="D206" s="10" t="s">
        <v>671</v>
      </c>
      <c r="E206" s="10" t="s">
        <v>672</v>
      </c>
      <c r="F206" s="10" t="s">
        <v>67</v>
      </c>
      <c r="G206" s="12"/>
      <c r="H206" s="12"/>
      <c r="I206" s="12"/>
      <c r="J206" s="12"/>
      <c r="K206" s="12"/>
      <c r="L206" s="12"/>
      <c r="M206" s="12"/>
      <c r="N206" s="12"/>
      <c r="O206" s="12"/>
      <c r="P206" s="12"/>
      <c r="Q206" s="12"/>
      <c r="R206" s="12"/>
      <c r="S206" s="12"/>
      <c r="T206" s="12"/>
      <c r="U206" s="12"/>
      <c r="V206" s="12"/>
      <c r="W206" s="12"/>
      <c r="X206" s="12"/>
      <c r="Y206" s="12"/>
      <c r="Z206" s="12"/>
      <c r="AA206" s="12"/>
      <c r="AB206" s="12"/>
      <c r="AC206" s="13">
        <v>4</v>
      </c>
      <c r="AD206" s="13">
        <v>3</v>
      </c>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3">
        <f t="shared" si="5"/>
        <v>7</v>
      </c>
      <c r="BI206" s="14">
        <f>BH206*9578.04</f>
        <v>67046.28</v>
      </c>
    </row>
    <row r="207" spans="1:61" ht="76.5" x14ac:dyDescent="0.25">
      <c r="A207" s="10">
        <v>202</v>
      </c>
      <c r="B207" s="11" t="s">
        <v>673</v>
      </c>
      <c r="C207" s="10" t="s">
        <v>673</v>
      </c>
      <c r="D207" s="10" t="s">
        <v>674</v>
      </c>
      <c r="E207" s="10" t="s">
        <v>675</v>
      </c>
      <c r="F207" s="10" t="s">
        <v>67</v>
      </c>
      <c r="G207" s="12"/>
      <c r="H207" s="12"/>
      <c r="I207" s="12"/>
      <c r="J207" s="12"/>
      <c r="K207" s="12"/>
      <c r="L207" s="12"/>
      <c r="M207" s="12"/>
      <c r="N207" s="12"/>
      <c r="O207" s="12"/>
      <c r="P207" s="12"/>
      <c r="Q207" s="12"/>
      <c r="R207" s="12"/>
      <c r="S207" s="12"/>
      <c r="T207" s="12"/>
      <c r="U207" s="12"/>
      <c r="V207" s="12"/>
      <c r="W207" s="12"/>
      <c r="X207" s="12"/>
      <c r="Y207" s="12"/>
      <c r="Z207" s="12"/>
      <c r="AA207" s="12"/>
      <c r="AB207" s="12"/>
      <c r="AC207" s="13">
        <v>5</v>
      </c>
      <c r="AD207" s="12"/>
      <c r="AE207" s="12"/>
      <c r="AF207" s="12"/>
      <c r="AG207" s="12"/>
      <c r="AH207" s="12"/>
      <c r="AI207" s="12"/>
      <c r="AJ207" s="12"/>
      <c r="AK207" s="12"/>
      <c r="AL207" s="12"/>
      <c r="AM207" s="12"/>
      <c r="AN207" s="12"/>
      <c r="AO207" s="13">
        <v>2</v>
      </c>
      <c r="AP207" s="12"/>
      <c r="AQ207" s="12"/>
      <c r="AR207" s="13">
        <v>2</v>
      </c>
      <c r="AS207" s="12"/>
      <c r="AT207" s="12"/>
      <c r="AU207" s="12"/>
      <c r="AV207" s="13">
        <v>1</v>
      </c>
      <c r="AW207" s="12"/>
      <c r="AX207" s="12"/>
      <c r="AY207" s="12"/>
      <c r="AZ207" s="12"/>
      <c r="BA207" s="12"/>
      <c r="BB207" s="12"/>
      <c r="BC207" s="12"/>
      <c r="BD207" s="12"/>
      <c r="BE207" s="12"/>
      <c r="BF207" s="12"/>
      <c r="BG207" s="12"/>
      <c r="BH207" s="13">
        <f t="shared" si="5"/>
        <v>10</v>
      </c>
      <c r="BI207" s="14">
        <f>BH207*7286.4</f>
        <v>72864</v>
      </c>
    </row>
    <row r="208" spans="1:61" ht="76.5" x14ac:dyDescent="0.25">
      <c r="A208" s="10">
        <v>203</v>
      </c>
      <c r="B208" s="11" t="s">
        <v>676</v>
      </c>
      <c r="C208" s="10" t="s">
        <v>676</v>
      </c>
      <c r="D208" s="10" t="s">
        <v>677</v>
      </c>
      <c r="E208" s="10" t="s">
        <v>678</v>
      </c>
      <c r="F208" s="10" t="s">
        <v>67</v>
      </c>
      <c r="G208" s="12"/>
      <c r="H208" s="12"/>
      <c r="I208" s="12"/>
      <c r="J208" s="12"/>
      <c r="K208" s="12"/>
      <c r="L208" s="12"/>
      <c r="M208" s="12"/>
      <c r="N208" s="12"/>
      <c r="O208" s="12"/>
      <c r="P208" s="12"/>
      <c r="Q208" s="12"/>
      <c r="R208" s="12"/>
      <c r="S208" s="12"/>
      <c r="T208" s="12"/>
      <c r="U208" s="12"/>
      <c r="V208" s="12"/>
      <c r="W208" s="12"/>
      <c r="X208" s="12"/>
      <c r="Y208" s="12"/>
      <c r="Z208" s="12"/>
      <c r="AA208" s="12"/>
      <c r="AB208" s="12"/>
      <c r="AC208" s="13">
        <v>6</v>
      </c>
      <c r="AD208" s="12"/>
      <c r="AE208" s="12"/>
      <c r="AF208" s="12"/>
      <c r="AG208" s="12"/>
      <c r="AH208" s="12"/>
      <c r="AI208" s="12"/>
      <c r="AJ208" s="12"/>
      <c r="AK208" s="12"/>
      <c r="AL208" s="13">
        <v>1</v>
      </c>
      <c r="AM208" s="12"/>
      <c r="AN208" s="12"/>
      <c r="AO208" s="12"/>
      <c r="AP208" s="12"/>
      <c r="AQ208" s="12"/>
      <c r="AR208" s="13">
        <v>1</v>
      </c>
      <c r="AS208" s="12"/>
      <c r="AT208" s="12"/>
      <c r="AU208" s="12"/>
      <c r="AV208" s="12"/>
      <c r="AW208" s="12"/>
      <c r="AX208" s="12"/>
      <c r="AY208" s="12"/>
      <c r="AZ208" s="12"/>
      <c r="BA208" s="12"/>
      <c r="BB208" s="12"/>
      <c r="BC208" s="12"/>
      <c r="BD208" s="12"/>
      <c r="BE208" s="12"/>
      <c r="BF208" s="12"/>
      <c r="BG208" s="12"/>
      <c r="BH208" s="13">
        <f t="shared" si="5"/>
        <v>8</v>
      </c>
      <c r="BI208" s="14">
        <f>BH208*927.69625</f>
        <v>7421.57</v>
      </c>
    </row>
    <row r="209" spans="1:61" ht="76.5" x14ac:dyDescent="0.25">
      <c r="A209" s="10">
        <v>204</v>
      </c>
      <c r="B209" s="11" t="s">
        <v>679</v>
      </c>
      <c r="C209" s="10" t="s">
        <v>679</v>
      </c>
      <c r="D209" s="10" t="s">
        <v>680</v>
      </c>
      <c r="E209" s="10" t="s">
        <v>681</v>
      </c>
      <c r="F209" s="10" t="s">
        <v>67</v>
      </c>
      <c r="G209" s="12"/>
      <c r="H209" s="12"/>
      <c r="I209" s="12"/>
      <c r="J209" s="12"/>
      <c r="K209" s="12"/>
      <c r="L209" s="12"/>
      <c r="M209" s="12"/>
      <c r="N209" s="12"/>
      <c r="O209" s="12"/>
      <c r="P209" s="12"/>
      <c r="Q209" s="12"/>
      <c r="R209" s="12"/>
      <c r="S209" s="12"/>
      <c r="T209" s="12"/>
      <c r="U209" s="12"/>
      <c r="V209" s="12"/>
      <c r="W209" s="12"/>
      <c r="X209" s="12"/>
      <c r="Y209" s="12"/>
      <c r="Z209" s="12"/>
      <c r="AA209" s="12"/>
      <c r="AB209" s="12"/>
      <c r="AC209" s="13">
        <v>5</v>
      </c>
      <c r="AD209" s="12"/>
      <c r="AE209" s="12"/>
      <c r="AF209" s="12"/>
      <c r="AG209" s="12"/>
      <c r="AH209" s="12"/>
      <c r="AI209" s="12"/>
      <c r="AJ209" s="12"/>
      <c r="AK209" s="12"/>
      <c r="AL209" s="12"/>
      <c r="AM209" s="12"/>
      <c r="AN209" s="12"/>
      <c r="AO209" s="13">
        <v>4</v>
      </c>
      <c r="AP209" s="12"/>
      <c r="AQ209" s="12"/>
      <c r="AR209" s="12"/>
      <c r="AS209" s="12"/>
      <c r="AT209" s="12"/>
      <c r="AU209" s="12"/>
      <c r="AV209" s="12"/>
      <c r="AW209" s="12"/>
      <c r="AX209" s="12"/>
      <c r="AY209" s="12"/>
      <c r="AZ209" s="12"/>
      <c r="BA209" s="12"/>
      <c r="BB209" s="12"/>
      <c r="BC209" s="12"/>
      <c r="BD209" s="12"/>
      <c r="BE209" s="12"/>
      <c r="BF209" s="12"/>
      <c r="BG209" s="12"/>
      <c r="BH209" s="13">
        <f t="shared" si="5"/>
        <v>9</v>
      </c>
      <c r="BI209" s="14">
        <f>BH209*1131.73222222222</f>
        <v>10185.589999999978</v>
      </c>
    </row>
    <row r="210" spans="1:61" ht="76.5" x14ac:dyDescent="0.25">
      <c r="A210" s="10">
        <v>205</v>
      </c>
      <c r="B210" s="11" t="s">
        <v>682</v>
      </c>
      <c r="C210" s="10" t="s">
        <v>682</v>
      </c>
      <c r="D210" s="10" t="s">
        <v>683</v>
      </c>
      <c r="E210" s="10" t="s">
        <v>684</v>
      </c>
      <c r="F210" s="10" t="s">
        <v>67</v>
      </c>
      <c r="G210" s="12"/>
      <c r="H210" s="12"/>
      <c r="I210" s="12"/>
      <c r="J210" s="12"/>
      <c r="K210" s="12"/>
      <c r="L210" s="12"/>
      <c r="M210" s="12"/>
      <c r="N210" s="12"/>
      <c r="O210" s="12"/>
      <c r="P210" s="12"/>
      <c r="Q210" s="12"/>
      <c r="R210" s="12"/>
      <c r="S210" s="12"/>
      <c r="T210" s="12"/>
      <c r="U210" s="12"/>
      <c r="V210" s="12"/>
      <c r="W210" s="12"/>
      <c r="X210" s="13">
        <v>2</v>
      </c>
      <c r="Y210" s="12"/>
      <c r="Z210" s="12"/>
      <c r="AA210" s="12"/>
      <c r="AB210" s="12"/>
      <c r="AC210" s="13">
        <v>4</v>
      </c>
      <c r="AD210" s="12"/>
      <c r="AE210" s="12"/>
      <c r="AF210" s="13">
        <v>1</v>
      </c>
      <c r="AG210" s="12"/>
      <c r="AH210" s="13">
        <v>10</v>
      </c>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3">
        <f t="shared" si="5"/>
        <v>17</v>
      </c>
      <c r="BI210" s="14">
        <f>BH210*1158.82</f>
        <v>19699.939999999999</v>
      </c>
    </row>
    <row r="211" spans="1:61" ht="76.5" x14ac:dyDescent="0.25">
      <c r="A211" s="10">
        <v>206</v>
      </c>
      <c r="B211" s="11" t="s">
        <v>685</v>
      </c>
      <c r="C211" s="10" t="s">
        <v>685</v>
      </c>
      <c r="D211" s="11" t="s">
        <v>686</v>
      </c>
      <c r="E211" s="10" t="s">
        <v>687</v>
      </c>
      <c r="F211" s="10" t="s">
        <v>67</v>
      </c>
      <c r="G211" s="12"/>
      <c r="H211" s="12"/>
      <c r="I211" s="12"/>
      <c r="J211" s="12"/>
      <c r="K211" s="12"/>
      <c r="L211" s="12"/>
      <c r="M211" s="12"/>
      <c r="N211" s="12"/>
      <c r="O211" s="12"/>
      <c r="P211" s="12"/>
      <c r="Q211" s="12"/>
      <c r="R211" s="12"/>
      <c r="S211" s="12"/>
      <c r="T211" s="12"/>
      <c r="U211" s="12"/>
      <c r="V211" s="12"/>
      <c r="W211" s="12"/>
      <c r="X211" s="12"/>
      <c r="Y211" s="13">
        <v>1</v>
      </c>
      <c r="Z211" s="12"/>
      <c r="AA211" s="12"/>
      <c r="AB211" s="12"/>
      <c r="AC211" s="13">
        <v>4</v>
      </c>
      <c r="AD211" s="12"/>
      <c r="AE211" s="12"/>
      <c r="AF211" s="13">
        <v>2</v>
      </c>
      <c r="AG211" s="12"/>
      <c r="AH211" s="12"/>
      <c r="AI211" s="12"/>
      <c r="AJ211" s="12"/>
      <c r="AK211" s="12"/>
      <c r="AL211" s="12"/>
      <c r="AM211" s="12"/>
      <c r="AN211" s="12"/>
      <c r="AO211" s="12"/>
      <c r="AP211" s="12"/>
      <c r="AQ211" s="12"/>
      <c r="AR211" s="12"/>
      <c r="AS211" s="12"/>
      <c r="AT211" s="12"/>
      <c r="AU211" s="12"/>
      <c r="AV211" s="13">
        <v>1</v>
      </c>
      <c r="AW211" s="12"/>
      <c r="AX211" s="12"/>
      <c r="AY211" s="12"/>
      <c r="AZ211" s="13">
        <v>1</v>
      </c>
      <c r="BA211" s="12"/>
      <c r="BB211" s="12"/>
      <c r="BC211" s="13">
        <v>1</v>
      </c>
      <c r="BD211" s="12"/>
      <c r="BE211" s="12"/>
      <c r="BF211" s="12"/>
      <c r="BG211" s="12"/>
      <c r="BH211" s="13">
        <f t="shared" si="5"/>
        <v>10</v>
      </c>
      <c r="BI211" s="14">
        <f>BH211*1152.696</f>
        <v>11526.96</v>
      </c>
    </row>
    <row r="212" spans="1:61" ht="51" x14ac:dyDescent="0.25">
      <c r="A212" s="10">
        <v>207</v>
      </c>
      <c r="B212" s="11" t="s">
        <v>688</v>
      </c>
      <c r="C212" s="10" t="s">
        <v>688</v>
      </c>
      <c r="D212" s="10" t="s">
        <v>689</v>
      </c>
      <c r="E212" s="10" t="s">
        <v>690</v>
      </c>
      <c r="F212" s="10" t="s">
        <v>67</v>
      </c>
      <c r="G212" s="12"/>
      <c r="H212" s="12"/>
      <c r="I212" s="12"/>
      <c r="J212" s="12"/>
      <c r="K212" s="12"/>
      <c r="L212" s="12"/>
      <c r="M212" s="12"/>
      <c r="N212" s="12"/>
      <c r="O212" s="12"/>
      <c r="P212" s="12"/>
      <c r="Q212" s="12"/>
      <c r="R212" s="12"/>
      <c r="S212" s="12"/>
      <c r="T212" s="12"/>
      <c r="U212" s="12"/>
      <c r="V212" s="12"/>
      <c r="W212" s="12"/>
      <c r="X212" s="12"/>
      <c r="Y212" s="13">
        <v>1</v>
      </c>
      <c r="Z212" s="12"/>
      <c r="AA212" s="12"/>
      <c r="AB212" s="12"/>
      <c r="AC212" s="13">
        <v>4</v>
      </c>
      <c r="AD212" s="12"/>
      <c r="AE212" s="12"/>
      <c r="AF212" s="12"/>
      <c r="AG212" s="12"/>
      <c r="AH212" s="12"/>
      <c r="AI212" s="12"/>
      <c r="AJ212" s="12"/>
      <c r="AK212" s="12"/>
      <c r="AL212" s="12"/>
      <c r="AM212" s="12"/>
      <c r="AN212" s="12"/>
      <c r="AO212" s="12"/>
      <c r="AP212" s="12"/>
      <c r="AQ212" s="12"/>
      <c r="AR212" s="13">
        <v>1</v>
      </c>
      <c r="AS212" s="12"/>
      <c r="AT212" s="12"/>
      <c r="AU212" s="12"/>
      <c r="AV212" s="12"/>
      <c r="AW212" s="12"/>
      <c r="AX212" s="12"/>
      <c r="AY212" s="12"/>
      <c r="AZ212" s="12"/>
      <c r="BA212" s="12"/>
      <c r="BB212" s="12"/>
      <c r="BC212" s="12"/>
      <c r="BD212" s="12"/>
      <c r="BE212" s="12"/>
      <c r="BF212" s="12"/>
      <c r="BG212" s="12"/>
      <c r="BH212" s="13">
        <f t="shared" si="5"/>
        <v>6</v>
      </c>
      <c r="BI212" s="14">
        <f>BH212*2322</f>
        <v>13932</v>
      </c>
    </row>
    <row r="213" spans="1:61" ht="51" x14ac:dyDescent="0.25">
      <c r="A213" s="10">
        <v>208</v>
      </c>
      <c r="B213" s="11" t="s">
        <v>691</v>
      </c>
      <c r="C213" s="10" t="s">
        <v>691</v>
      </c>
      <c r="D213" s="11" t="s">
        <v>692</v>
      </c>
      <c r="E213" s="10" t="s">
        <v>693</v>
      </c>
      <c r="F213" s="10" t="s">
        <v>67</v>
      </c>
      <c r="G213" s="12"/>
      <c r="H213" s="12"/>
      <c r="I213" s="12"/>
      <c r="J213" s="12"/>
      <c r="K213" s="12"/>
      <c r="L213" s="12"/>
      <c r="M213" s="12"/>
      <c r="N213" s="12"/>
      <c r="O213" s="12"/>
      <c r="P213" s="12"/>
      <c r="Q213" s="12"/>
      <c r="R213" s="12"/>
      <c r="S213" s="12"/>
      <c r="T213" s="12"/>
      <c r="U213" s="12"/>
      <c r="V213" s="12"/>
      <c r="W213" s="12"/>
      <c r="X213" s="13">
        <v>4</v>
      </c>
      <c r="Y213" s="12"/>
      <c r="Z213" s="12"/>
      <c r="AA213" s="12"/>
      <c r="AB213" s="12"/>
      <c r="AC213" s="13">
        <v>4</v>
      </c>
      <c r="AD213" s="13">
        <v>8</v>
      </c>
      <c r="AE213" s="12"/>
      <c r="AF213" s="12"/>
      <c r="AG213" s="12"/>
      <c r="AH213" s="12"/>
      <c r="AI213" s="12"/>
      <c r="AJ213" s="12"/>
      <c r="AK213" s="12"/>
      <c r="AL213" s="13">
        <v>1</v>
      </c>
      <c r="AM213" s="12"/>
      <c r="AN213" s="12"/>
      <c r="AO213" s="13">
        <v>2</v>
      </c>
      <c r="AP213" s="12"/>
      <c r="AQ213" s="12"/>
      <c r="AR213" s="13">
        <v>2</v>
      </c>
      <c r="AS213" s="12"/>
      <c r="AT213" s="12"/>
      <c r="AU213" s="12"/>
      <c r="AV213" s="13">
        <v>1</v>
      </c>
      <c r="AW213" s="12"/>
      <c r="AX213" s="12"/>
      <c r="AY213" s="13">
        <v>1</v>
      </c>
      <c r="AZ213" s="12"/>
      <c r="BA213" s="12"/>
      <c r="BB213" s="12"/>
      <c r="BC213" s="12"/>
      <c r="BD213" s="12"/>
      <c r="BE213" s="12"/>
      <c r="BF213" s="12"/>
      <c r="BG213" s="12"/>
      <c r="BH213" s="13">
        <f t="shared" si="5"/>
        <v>23</v>
      </c>
      <c r="BI213" s="14">
        <f>BH213*2876.4</f>
        <v>66157.2</v>
      </c>
    </row>
    <row r="214" spans="1:61" ht="89.25" x14ac:dyDescent="0.25">
      <c r="A214" s="10">
        <v>209</v>
      </c>
      <c r="B214" s="11" t="s">
        <v>694</v>
      </c>
      <c r="C214" s="10" t="s">
        <v>694</v>
      </c>
      <c r="D214" s="11" t="s">
        <v>695</v>
      </c>
      <c r="E214" s="10" t="s">
        <v>696</v>
      </c>
      <c r="F214" s="10" t="s">
        <v>67</v>
      </c>
      <c r="G214" s="12"/>
      <c r="H214" s="12"/>
      <c r="I214" s="12"/>
      <c r="J214" s="12"/>
      <c r="K214" s="12"/>
      <c r="L214" s="12"/>
      <c r="M214" s="12"/>
      <c r="N214" s="12"/>
      <c r="O214" s="12"/>
      <c r="P214" s="12"/>
      <c r="Q214" s="12"/>
      <c r="R214" s="12"/>
      <c r="S214" s="12"/>
      <c r="T214" s="12"/>
      <c r="U214" s="12"/>
      <c r="V214" s="12"/>
      <c r="W214" s="12"/>
      <c r="X214" s="12"/>
      <c r="Y214" s="13">
        <v>2</v>
      </c>
      <c r="Z214" s="12"/>
      <c r="AA214" s="12"/>
      <c r="AB214" s="12"/>
      <c r="AC214" s="13">
        <v>24</v>
      </c>
      <c r="AD214" s="13">
        <v>2</v>
      </c>
      <c r="AE214" s="12"/>
      <c r="AF214" s="13">
        <v>6</v>
      </c>
      <c r="AG214" s="13">
        <v>4</v>
      </c>
      <c r="AH214" s="12"/>
      <c r="AI214" s="12"/>
      <c r="AJ214" s="12"/>
      <c r="AK214" s="12"/>
      <c r="AL214" s="12"/>
      <c r="AM214" s="12"/>
      <c r="AN214" s="12"/>
      <c r="AO214" s="13">
        <v>5</v>
      </c>
      <c r="AP214" s="12"/>
      <c r="AQ214" s="12"/>
      <c r="AR214" s="12"/>
      <c r="AS214" s="12"/>
      <c r="AT214" s="12"/>
      <c r="AU214" s="12"/>
      <c r="AV214" s="13">
        <v>2</v>
      </c>
      <c r="AW214" s="12"/>
      <c r="AX214" s="12"/>
      <c r="AY214" s="12"/>
      <c r="AZ214" s="12"/>
      <c r="BA214" s="12"/>
      <c r="BB214" s="13">
        <v>3</v>
      </c>
      <c r="BC214" s="12"/>
      <c r="BD214" s="12"/>
      <c r="BE214" s="12"/>
      <c r="BF214" s="12"/>
      <c r="BG214" s="12">
        <v>10</v>
      </c>
      <c r="BH214" s="13">
        <f t="shared" si="5"/>
        <v>58</v>
      </c>
      <c r="BI214" s="14">
        <f>BH214*280.007916666667</f>
        <v>16240.459166666684</v>
      </c>
    </row>
    <row r="215" spans="1:61" ht="102" x14ac:dyDescent="0.25">
      <c r="A215" s="10">
        <v>210</v>
      </c>
      <c r="B215" s="11" t="s">
        <v>697</v>
      </c>
      <c r="C215" s="10" t="s">
        <v>697</v>
      </c>
      <c r="D215" s="11" t="s">
        <v>698</v>
      </c>
      <c r="E215" s="10" t="s">
        <v>699</v>
      </c>
      <c r="F215" s="10" t="s">
        <v>67</v>
      </c>
      <c r="G215" s="12"/>
      <c r="H215" s="12"/>
      <c r="I215" s="12"/>
      <c r="J215" s="12"/>
      <c r="K215" s="12"/>
      <c r="L215" s="12"/>
      <c r="M215" s="12"/>
      <c r="N215" s="12"/>
      <c r="O215" s="12"/>
      <c r="P215" s="12"/>
      <c r="Q215" s="12"/>
      <c r="R215" s="12"/>
      <c r="S215" s="12"/>
      <c r="T215" s="12"/>
      <c r="U215" s="12"/>
      <c r="V215" s="12"/>
      <c r="W215" s="12"/>
      <c r="X215" s="12"/>
      <c r="Y215" s="13">
        <v>2</v>
      </c>
      <c r="Z215" s="12"/>
      <c r="AA215" s="12"/>
      <c r="AB215" s="12"/>
      <c r="AC215" s="12"/>
      <c r="AD215" s="13">
        <v>2</v>
      </c>
      <c r="AE215" s="12"/>
      <c r="AF215" s="13">
        <v>6</v>
      </c>
      <c r="AG215" s="12"/>
      <c r="AH215" s="12"/>
      <c r="AI215" s="12"/>
      <c r="AJ215" s="12"/>
      <c r="AK215" s="12"/>
      <c r="AL215" s="12"/>
      <c r="AM215" s="12"/>
      <c r="AN215" s="12"/>
      <c r="AO215" s="13">
        <v>10</v>
      </c>
      <c r="AP215" s="12"/>
      <c r="AQ215" s="12"/>
      <c r="AR215" s="12"/>
      <c r="AS215" s="12"/>
      <c r="AT215" s="12"/>
      <c r="AU215" s="12"/>
      <c r="AV215" s="13">
        <v>2</v>
      </c>
      <c r="AW215" s="12"/>
      <c r="AX215" s="13">
        <v>5</v>
      </c>
      <c r="AY215" s="12"/>
      <c r="AZ215" s="12"/>
      <c r="BA215" s="12"/>
      <c r="BB215" s="13">
        <v>2</v>
      </c>
      <c r="BC215" s="13">
        <v>6</v>
      </c>
      <c r="BD215" s="13">
        <v>10</v>
      </c>
      <c r="BE215" s="12"/>
      <c r="BF215" s="12"/>
      <c r="BG215" s="12"/>
      <c r="BH215" s="13">
        <f t="shared" si="5"/>
        <v>45</v>
      </c>
      <c r="BI215" s="14">
        <f>BH215*280.008</f>
        <v>12600.359999999999</v>
      </c>
    </row>
    <row r="216" spans="1:61" ht="63.75" x14ac:dyDescent="0.25">
      <c r="A216" s="10">
        <v>211</v>
      </c>
      <c r="B216" s="11" t="s">
        <v>700</v>
      </c>
      <c r="C216" s="10" t="s">
        <v>700</v>
      </c>
      <c r="D216" s="11" t="s">
        <v>701</v>
      </c>
      <c r="E216" s="10" t="s">
        <v>702</v>
      </c>
      <c r="F216" s="10" t="s">
        <v>67</v>
      </c>
      <c r="G216" s="12"/>
      <c r="H216" s="12"/>
      <c r="I216" s="12"/>
      <c r="J216" s="12"/>
      <c r="K216" s="12"/>
      <c r="L216" s="12"/>
      <c r="M216" s="12"/>
      <c r="N216" s="12"/>
      <c r="O216" s="12"/>
      <c r="P216" s="12"/>
      <c r="Q216" s="12"/>
      <c r="R216" s="12"/>
      <c r="S216" s="12"/>
      <c r="T216" s="12"/>
      <c r="U216" s="12"/>
      <c r="V216" s="12"/>
      <c r="W216" s="12"/>
      <c r="X216" s="12"/>
      <c r="Y216" s="12"/>
      <c r="Z216" s="12"/>
      <c r="AA216" s="12"/>
      <c r="AB216" s="12"/>
      <c r="AC216" s="13">
        <v>6</v>
      </c>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3">
        <f t="shared" si="5"/>
        <v>6</v>
      </c>
      <c r="BI216" s="14">
        <f>BH216*850.8</f>
        <v>5104.7999999999993</v>
      </c>
    </row>
    <row r="217" spans="1:61" ht="63.75" x14ac:dyDescent="0.25">
      <c r="A217" s="10">
        <v>212</v>
      </c>
      <c r="B217" s="11" t="s">
        <v>703</v>
      </c>
      <c r="C217" s="10" t="s">
        <v>703</v>
      </c>
      <c r="D217" s="11" t="s">
        <v>704</v>
      </c>
      <c r="E217" s="10" t="s">
        <v>705</v>
      </c>
      <c r="F217" s="10" t="s">
        <v>67</v>
      </c>
      <c r="G217" s="12"/>
      <c r="H217" s="12"/>
      <c r="I217" s="12"/>
      <c r="J217" s="12"/>
      <c r="K217" s="12"/>
      <c r="L217" s="12"/>
      <c r="M217" s="12"/>
      <c r="N217" s="12"/>
      <c r="O217" s="12"/>
      <c r="P217" s="12"/>
      <c r="Q217" s="12"/>
      <c r="R217" s="12"/>
      <c r="S217" s="12"/>
      <c r="T217" s="12"/>
      <c r="U217" s="12"/>
      <c r="V217" s="12"/>
      <c r="W217" s="12"/>
      <c r="X217" s="12"/>
      <c r="Y217" s="12"/>
      <c r="Z217" s="12"/>
      <c r="AA217" s="12"/>
      <c r="AB217" s="12"/>
      <c r="AC217" s="13">
        <v>6</v>
      </c>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3">
        <f t="shared" si="5"/>
        <v>6</v>
      </c>
      <c r="BI217" s="14">
        <f>BH217*850.8</f>
        <v>5104.7999999999993</v>
      </c>
    </row>
    <row r="218" spans="1:61" ht="60" customHeight="1" x14ac:dyDescent="0.25">
      <c r="A218" s="10">
        <v>213</v>
      </c>
      <c r="B218" s="11" t="s">
        <v>706</v>
      </c>
      <c r="C218" s="16" t="s">
        <v>707</v>
      </c>
      <c r="D218" s="11" t="s">
        <v>708</v>
      </c>
      <c r="E218" s="16" t="s">
        <v>709</v>
      </c>
      <c r="F218" s="10" t="s">
        <v>67</v>
      </c>
      <c r="G218" s="12"/>
      <c r="H218" s="12"/>
      <c r="I218" s="12"/>
      <c r="J218" s="12"/>
      <c r="K218" s="12"/>
      <c r="L218" s="12"/>
      <c r="M218" s="12"/>
      <c r="N218" s="12"/>
      <c r="O218" s="12"/>
      <c r="P218" s="12"/>
      <c r="Q218" s="12"/>
      <c r="R218" s="12"/>
      <c r="S218" s="12"/>
      <c r="T218" s="12"/>
      <c r="U218" s="12"/>
      <c r="V218" s="12"/>
      <c r="W218" s="12"/>
      <c r="X218" s="12"/>
      <c r="Y218" s="12"/>
      <c r="Z218" s="12"/>
      <c r="AA218" s="12"/>
      <c r="AB218" s="12"/>
      <c r="AC218" s="13">
        <v>12</v>
      </c>
      <c r="AD218" s="13">
        <v>1</v>
      </c>
      <c r="AE218" s="12"/>
      <c r="AF218" s="13">
        <v>1</v>
      </c>
      <c r="AG218" s="12"/>
      <c r="AH218" s="12"/>
      <c r="AI218" s="12"/>
      <c r="AJ218" s="12"/>
      <c r="AK218" s="12"/>
      <c r="AL218" s="13">
        <v>1</v>
      </c>
      <c r="AM218" s="12"/>
      <c r="AN218" s="12"/>
      <c r="AO218" s="13">
        <v>2</v>
      </c>
      <c r="AP218" s="13">
        <v>1</v>
      </c>
      <c r="AQ218" s="12"/>
      <c r="AR218" s="13">
        <v>2</v>
      </c>
      <c r="AS218" s="12"/>
      <c r="AT218" s="12"/>
      <c r="AU218" s="13">
        <v>1</v>
      </c>
      <c r="AV218" s="12"/>
      <c r="AW218" s="12"/>
      <c r="AX218" s="12"/>
      <c r="AY218" s="12"/>
      <c r="AZ218" s="12"/>
      <c r="BA218" s="12"/>
      <c r="BB218" s="12"/>
      <c r="BC218" s="12"/>
      <c r="BD218" s="12"/>
      <c r="BE218" s="12"/>
      <c r="BF218" s="12"/>
      <c r="BG218" s="12"/>
      <c r="BH218" s="13">
        <f t="shared" si="5"/>
        <v>21</v>
      </c>
      <c r="BI218" s="14">
        <f>BH218*950.4</f>
        <v>19958.399999999998</v>
      </c>
    </row>
    <row r="219" spans="1:61" ht="89.25" x14ac:dyDescent="0.25">
      <c r="A219" s="10">
        <v>214</v>
      </c>
      <c r="B219" s="11" t="s">
        <v>710</v>
      </c>
      <c r="C219" s="10" t="s">
        <v>710</v>
      </c>
      <c r="D219" s="11" t="s">
        <v>711</v>
      </c>
      <c r="E219" s="10" t="s">
        <v>712</v>
      </c>
      <c r="F219" s="10" t="s">
        <v>67</v>
      </c>
      <c r="G219" s="12"/>
      <c r="H219" s="12">
        <v>7</v>
      </c>
      <c r="I219" s="12"/>
      <c r="J219" s="12"/>
      <c r="K219" s="12"/>
      <c r="L219" s="12"/>
      <c r="M219" s="12"/>
      <c r="N219" s="12"/>
      <c r="O219" s="12"/>
      <c r="P219" s="12"/>
      <c r="Q219" s="12"/>
      <c r="R219" s="12"/>
      <c r="S219" s="12"/>
      <c r="T219" s="12"/>
      <c r="U219" s="12"/>
      <c r="V219" s="12"/>
      <c r="W219" s="12"/>
      <c r="X219" s="12"/>
      <c r="Y219" s="12"/>
      <c r="Z219" s="12"/>
      <c r="AA219" s="12"/>
      <c r="AB219" s="12"/>
      <c r="AC219" s="13">
        <v>10</v>
      </c>
      <c r="AD219" s="12"/>
      <c r="AE219" s="12"/>
      <c r="AF219" s="13">
        <v>5</v>
      </c>
      <c r="AG219" s="12"/>
      <c r="AH219" s="12"/>
      <c r="AI219" s="12"/>
      <c r="AJ219" s="12"/>
      <c r="AK219" s="12"/>
      <c r="AL219" s="12"/>
      <c r="AM219" s="12"/>
      <c r="AN219" s="12"/>
      <c r="AO219" s="13">
        <v>5</v>
      </c>
      <c r="AP219" s="13">
        <v>1</v>
      </c>
      <c r="AQ219" s="12"/>
      <c r="AR219" s="13">
        <v>45</v>
      </c>
      <c r="AS219" s="12"/>
      <c r="AT219" s="12"/>
      <c r="AU219" s="12"/>
      <c r="AV219" s="13">
        <v>7</v>
      </c>
      <c r="AW219" s="12"/>
      <c r="AX219" s="12"/>
      <c r="AY219" s="13">
        <v>2</v>
      </c>
      <c r="AZ219" s="12"/>
      <c r="BA219" s="12"/>
      <c r="BB219" s="12"/>
      <c r="BC219" s="12"/>
      <c r="BD219" s="12"/>
      <c r="BE219" s="12"/>
      <c r="BF219" s="12"/>
      <c r="BG219" s="12"/>
      <c r="BH219" s="13">
        <f t="shared" si="5"/>
        <v>82</v>
      </c>
      <c r="BI219" s="14">
        <f>BH219*200.004</f>
        <v>16400.327999999998</v>
      </c>
    </row>
    <row r="220" spans="1:61" ht="51" x14ac:dyDescent="0.25">
      <c r="A220" s="10">
        <v>215</v>
      </c>
      <c r="B220" s="11" t="s">
        <v>713</v>
      </c>
      <c r="C220" s="10" t="s">
        <v>713</v>
      </c>
      <c r="D220" s="11" t="s">
        <v>714</v>
      </c>
      <c r="E220" s="10" t="s">
        <v>715</v>
      </c>
      <c r="F220" s="10" t="s">
        <v>67</v>
      </c>
      <c r="G220" s="12"/>
      <c r="H220" s="12"/>
      <c r="I220" s="12"/>
      <c r="J220" s="12"/>
      <c r="K220" s="12"/>
      <c r="L220" s="12"/>
      <c r="M220" s="12"/>
      <c r="N220" s="12"/>
      <c r="O220" s="12"/>
      <c r="P220" s="12"/>
      <c r="Q220" s="12"/>
      <c r="R220" s="12"/>
      <c r="S220" s="12"/>
      <c r="T220" s="12"/>
      <c r="U220" s="12"/>
      <c r="V220" s="12"/>
      <c r="W220" s="12"/>
      <c r="X220" s="12"/>
      <c r="Y220" s="12"/>
      <c r="Z220" s="12"/>
      <c r="AA220" s="12"/>
      <c r="AB220" s="12"/>
      <c r="AC220" s="13">
        <v>2</v>
      </c>
      <c r="AD220" s="12"/>
      <c r="AE220" s="12"/>
      <c r="AF220" s="12"/>
      <c r="AG220" s="12"/>
      <c r="AH220" s="12"/>
      <c r="AI220" s="12"/>
      <c r="AJ220" s="12"/>
      <c r="AK220" s="13">
        <v>10</v>
      </c>
      <c r="AL220" s="12"/>
      <c r="AM220" s="12"/>
      <c r="AN220" s="12"/>
      <c r="AO220" s="13">
        <v>20</v>
      </c>
      <c r="AP220" s="12"/>
      <c r="AQ220" s="12"/>
      <c r="AR220" s="12"/>
      <c r="AS220" s="12"/>
      <c r="AT220" s="12"/>
      <c r="AU220" s="12"/>
      <c r="AV220" s="12"/>
      <c r="AW220" s="12"/>
      <c r="AX220" s="12"/>
      <c r="AY220" s="13">
        <v>2</v>
      </c>
      <c r="AZ220" s="12"/>
      <c r="BA220" s="12"/>
      <c r="BB220" s="12"/>
      <c r="BC220" s="12"/>
      <c r="BD220" s="12"/>
      <c r="BE220" s="12"/>
      <c r="BF220" s="12"/>
      <c r="BG220" s="12"/>
      <c r="BH220" s="13">
        <f t="shared" si="5"/>
        <v>34</v>
      </c>
      <c r="BI220" s="14">
        <f>BH220*80.0041176470588</f>
        <v>2720.1399999999994</v>
      </c>
    </row>
    <row r="221" spans="1:61" ht="51" x14ac:dyDescent="0.25">
      <c r="A221" s="10">
        <v>216</v>
      </c>
      <c r="B221" s="11" t="s">
        <v>716</v>
      </c>
      <c r="C221" s="10" t="s">
        <v>716</v>
      </c>
      <c r="D221" s="10" t="s">
        <v>717</v>
      </c>
      <c r="E221" s="10" t="s">
        <v>718</v>
      </c>
      <c r="F221" s="10" t="s">
        <v>67</v>
      </c>
      <c r="G221" s="12"/>
      <c r="H221" s="12"/>
      <c r="I221" s="12"/>
      <c r="J221" s="12"/>
      <c r="K221" s="12"/>
      <c r="L221" s="12"/>
      <c r="M221" s="12"/>
      <c r="N221" s="12"/>
      <c r="O221" s="12"/>
      <c r="P221" s="12"/>
      <c r="Q221" s="12"/>
      <c r="R221" s="12"/>
      <c r="S221" s="12"/>
      <c r="T221" s="12"/>
      <c r="U221" s="12"/>
      <c r="V221" s="12"/>
      <c r="W221" s="12"/>
      <c r="X221" s="12"/>
      <c r="Y221" s="12"/>
      <c r="Z221" s="12"/>
      <c r="AA221" s="12"/>
      <c r="AB221" s="12"/>
      <c r="AC221" s="13">
        <v>2</v>
      </c>
      <c r="AD221" s="12"/>
      <c r="AE221" s="12"/>
      <c r="AF221" s="12"/>
      <c r="AG221" s="12"/>
      <c r="AH221" s="12"/>
      <c r="AI221" s="12"/>
      <c r="AJ221" s="12"/>
      <c r="AK221" s="12"/>
      <c r="AL221" s="12"/>
      <c r="AM221" s="12"/>
      <c r="AN221" s="12"/>
      <c r="AO221" s="12"/>
      <c r="AP221" s="12"/>
      <c r="AQ221" s="12"/>
      <c r="AR221" s="13">
        <v>2</v>
      </c>
      <c r="AS221" s="12"/>
      <c r="AT221" s="12"/>
      <c r="AU221" s="12"/>
      <c r="AV221" s="13">
        <v>1</v>
      </c>
      <c r="AW221" s="12"/>
      <c r="AX221" s="12"/>
      <c r="AY221" s="12"/>
      <c r="AZ221" s="12"/>
      <c r="BA221" s="12"/>
      <c r="BB221" s="12"/>
      <c r="BC221" s="12"/>
      <c r="BD221" s="12"/>
      <c r="BE221" s="12"/>
      <c r="BF221" s="12"/>
      <c r="BG221" s="12"/>
      <c r="BH221" s="13">
        <f t="shared" si="5"/>
        <v>5</v>
      </c>
      <c r="BI221" s="14">
        <f>BH221*1646.4</f>
        <v>8232</v>
      </c>
    </row>
    <row r="222" spans="1:61" ht="51" x14ac:dyDescent="0.25">
      <c r="A222" s="10">
        <v>217</v>
      </c>
      <c r="B222" s="11" t="s">
        <v>719</v>
      </c>
      <c r="C222" s="10" t="s">
        <v>719</v>
      </c>
      <c r="D222" s="11" t="s">
        <v>720</v>
      </c>
      <c r="E222" s="10" t="s">
        <v>721</v>
      </c>
      <c r="F222" s="10" t="s">
        <v>67</v>
      </c>
      <c r="G222" s="12"/>
      <c r="H222" s="12"/>
      <c r="I222" s="12"/>
      <c r="J222" s="12"/>
      <c r="K222" s="12"/>
      <c r="L222" s="12"/>
      <c r="M222" s="12"/>
      <c r="N222" s="12"/>
      <c r="O222" s="12"/>
      <c r="P222" s="12"/>
      <c r="Q222" s="12"/>
      <c r="R222" s="12"/>
      <c r="S222" s="12"/>
      <c r="T222" s="12"/>
      <c r="U222" s="12"/>
      <c r="V222" s="12"/>
      <c r="W222" s="12"/>
      <c r="X222" s="12"/>
      <c r="Y222" s="12"/>
      <c r="Z222" s="12"/>
      <c r="AA222" s="12"/>
      <c r="AB222" s="12"/>
      <c r="AC222" s="13">
        <v>2</v>
      </c>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3">
        <f t="shared" si="5"/>
        <v>2</v>
      </c>
      <c r="BI222" s="14">
        <f>BH222*4632</f>
        <v>9264</v>
      </c>
    </row>
    <row r="223" spans="1:61" ht="51" x14ac:dyDescent="0.25">
      <c r="A223" s="10">
        <v>218</v>
      </c>
      <c r="B223" s="11" t="s">
        <v>722</v>
      </c>
      <c r="C223" s="10" t="s">
        <v>722</v>
      </c>
      <c r="D223" s="11" t="s">
        <v>723</v>
      </c>
      <c r="E223" s="10" t="s">
        <v>724</v>
      </c>
      <c r="F223" s="10" t="s">
        <v>67</v>
      </c>
      <c r="G223" s="12"/>
      <c r="H223" s="12"/>
      <c r="I223" s="12"/>
      <c r="J223" s="12"/>
      <c r="K223" s="12"/>
      <c r="L223" s="12"/>
      <c r="M223" s="12"/>
      <c r="N223" s="12"/>
      <c r="O223" s="12"/>
      <c r="P223" s="12"/>
      <c r="Q223" s="12"/>
      <c r="R223" s="12"/>
      <c r="S223" s="12"/>
      <c r="T223" s="12"/>
      <c r="U223" s="12"/>
      <c r="V223" s="12"/>
      <c r="W223" s="12"/>
      <c r="X223" s="12"/>
      <c r="Y223" s="12"/>
      <c r="Z223" s="12"/>
      <c r="AA223" s="12"/>
      <c r="AB223" s="12"/>
      <c r="AC223" s="13">
        <v>2</v>
      </c>
      <c r="AD223" s="12"/>
      <c r="AE223" s="12"/>
      <c r="AF223" s="13">
        <v>2</v>
      </c>
      <c r="AG223" s="12"/>
      <c r="AH223" s="12"/>
      <c r="AI223" s="12"/>
      <c r="AJ223" s="12"/>
      <c r="AK223" s="12"/>
      <c r="AL223" s="12"/>
      <c r="AM223" s="12"/>
      <c r="AN223" s="12"/>
      <c r="AO223" s="12"/>
      <c r="AP223" s="13">
        <v>1</v>
      </c>
      <c r="AQ223" s="12"/>
      <c r="AR223" s="12"/>
      <c r="AS223" s="12"/>
      <c r="AT223" s="12"/>
      <c r="AU223" s="12"/>
      <c r="AV223" s="12"/>
      <c r="AW223" s="12"/>
      <c r="AX223" s="12"/>
      <c r="AY223" s="12"/>
      <c r="AZ223" s="12"/>
      <c r="BA223" s="12"/>
      <c r="BB223" s="12"/>
      <c r="BC223" s="12"/>
      <c r="BD223" s="12"/>
      <c r="BE223" s="12"/>
      <c r="BF223" s="12"/>
      <c r="BG223" s="12"/>
      <c r="BH223" s="13">
        <f t="shared" si="5"/>
        <v>5</v>
      </c>
      <c r="BI223" s="14">
        <f>BH223*4632</f>
        <v>23160</v>
      </c>
    </row>
    <row r="224" spans="1:61" ht="51" x14ac:dyDescent="0.25">
      <c r="A224" s="10">
        <v>219</v>
      </c>
      <c r="B224" s="11" t="s">
        <v>725</v>
      </c>
      <c r="C224" s="10" t="s">
        <v>725</v>
      </c>
      <c r="D224" s="11" t="s">
        <v>726</v>
      </c>
      <c r="E224" s="10" t="s">
        <v>727</v>
      </c>
      <c r="F224" s="10" t="s">
        <v>67</v>
      </c>
      <c r="G224" s="12"/>
      <c r="H224" s="12"/>
      <c r="I224" s="12"/>
      <c r="J224" s="12"/>
      <c r="K224" s="12"/>
      <c r="L224" s="12"/>
      <c r="M224" s="12"/>
      <c r="N224" s="12"/>
      <c r="O224" s="12"/>
      <c r="P224" s="12"/>
      <c r="Q224" s="12"/>
      <c r="R224" s="12"/>
      <c r="S224" s="12"/>
      <c r="T224" s="12"/>
      <c r="U224" s="12"/>
      <c r="V224" s="12"/>
      <c r="W224" s="12"/>
      <c r="X224" s="12"/>
      <c r="Y224" s="12"/>
      <c r="Z224" s="12"/>
      <c r="AA224" s="12"/>
      <c r="AB224" s="12"/>
      <c r="AC224" s="13">
        <v>4</v>
      </c>
      <c r="AD224" s="12"/>
      <c r="AE224" s="12"/>
      <c r="AF224" s="12"/>
      <c r="AG224" s="12"/>
      <c r="AH224" s="12"/>
      <c r="AI224" s="12"/>
      <c r="AJ224" s="12"/>
      <c r="AK224" s="12"/>
      <c r="AL224" s="12"/>
      <c r="AM224" s="12"/>
      <c r="AN224" s="12"/>
      <c r="AO224" s="13">
        <v>2</v>
      </c>
      <c r="AP224" s="13">
        <v>1</v>
      </c>
      <c r="AQ224" s="12"/>
      <c r="AR224" s="13">
        <v>2</v>
      </c>
      <c r="AS224" s="12"/>
      <c r="AT224" s="12"/>
      <c r="AU224" s="12"/>
      <c r="AV224" s="12"/>
      <c r="AW224" s="12"/>
      <c r="AX224" s="12"/>
      <c r="AY224" s="12"/>
      <c r="AZ224" s="12"/>
      <c r="BA224" s="12"/>
      <c r="BB224" s="12"/>
      <c r="BC224" s="12"/>
      <c r="BD224" s="12"/>
      <c r="BE224" s="12"/>
      <c r="BF224" s="12"/>
      <c r="BG224" s="12"/>
      <c r="BH224" s="13">
        <f t="shared" si="5"/>
        <v>9</v>
      </c>
      <c r="BI224" s="14">
        <f>BH224*759</f>
        <v>6831</v>
      </c>
    </row>
    <row r="225" spans="1:61" ht="51" x14ac:dyDescent="0.25">
      <c r="A225" s="10">
        <v>220</v>
      </c>
      <c r="B225" s="11" t="s">
        <v>728</v>
      </c>
      <c r="C225" s="10" t="s">
        <v>728</v>
      </c>
      <c r="D225" s="11" t="s">
        <v>729</v>
      </c>
      <c r="E225" s="10" t="s">
        <v>730</v>
      </c>
      <c r="F225" s="10" t="s">
        <v>67</v>
      </c>
      <c r="G225" s="12"/>
      <c r="H225" s="12"/>
      <c r="I225" s="12"/>
      <c r="J225" s="12"/>
      <c r="K225" s="12"/>
      <c r="L225" s="12"/>
      <c r="M225" s="12"/>
      <c r="N225" s="12"/>
      <c r="O225" s="12"/>
      <c r="P225" s="12"/>
      <c r="Q225" s="12"/>
      <c r="R225" s="12"/>
      <c r="S225" s="12"/>
      <c r="T225" s="12"/>
      <c r="U225" s="12"/>
      <c r="V225" s="12"/>
      <c r="W225" s="12"/>
      <c r="X225" s="12"/>
      <c r="Y225" s="12"/>
      <c r="Z225" s="12"/>
      <c r="AA225" s="12"/>
      <c r="AB225" s="12"/>
      <c r="AC225" s="13">
        <v>4</v>
      </c>
      <c r="AD225" s="12"/>
      <c r="AE225" s="12"/>
      <c r="AF225" s="12"/>
      <c r="AG225" s="12"/>
      <c r="AH225" s="12"/>
      <c r="AI225" s="12"/>
      <c r="AJ225" s="12"/>
      <c r="AK225" s="12"/>
      <c r="AL225" s="12"/>
      <c r="AM225" s="12"/>
      <c r="AN225" s="12"/>
      <c r="AO225" s="13">
        <v>2</v>
      </c>
      <c r="AP225" s="13">
        <v>1</v>
      </c>
      <c r="AQ225" s="12"/>
      <c r="AR225" s="13">
        <v>2</v>
      </c>
      <c r="AS225" s="12"/>
      <c r="AT225" s="12"/>
      <c r="AU225" s="12"/>
      <c r="AV225" s="12"/>
      <c r="AW225" s="12"/>
      <c r="AX225" s="12"/>
      <c r="AY225" s="12"/>
      <c r="AZ225" s="12"/>
      <c r="BA225" s="12"/>
      <c r="BB225" s="12"/>
      <c r="BC225" s="12"/>
      <c r="BD225" s="12"/>
      <c r="BE225" s="12"/>
      <c r="BF225" s="12"/>
      <c r="BG225" s="12"/>
      <c r="BH225" s="13">
        <f t="shared" si="5"/>
        <v>9</v>
      </c>
      <c r="BI225" s="14">
        <f>BH225*759</f>
        <v>6831</v>
      </c>
    </row>
    <row r="226" spans="1:61" ht="51" x14ac:dyDescent="0.25">
      <c r="A226" s="10">
        <v>221</v>
      </c>
      <c r="B226" s="11" t="s">
        <v>731</v>
      </c>
      <c r="C226" s="10" t="s">
        <v>731</v>
      </c>
      <c r="D226" s="11" t="s">
        <v>732</v>
      </c>
      <c r="E226" s="10" t="s">
        <v>733</v>
      </c>
      <c r="F226" s="10" t="s">
        <v>67</v>
      </c>
      <c r="G226" s="12"/>
      <c r="H226" s="12"/>
      <c r="I226" s="12"/>
      <c r="J226" s="12"/>
      <c r="K226" s="12"/>
      <c r="L226" s="12"/>
      <c r="M226" s="12"/>
      <c r="N226" s="12"/>
      <c r="O226" s="12"/>
      <c r="P226" s="12"/>
      <c r="Q226" s="12"/>
      <c r="R226" s="12"/>
      <c r="S226" s="12"/>
      <c r="T226" s="12"/>
      <c r="U226" s="12"/>
      <c r="V226" s="12"/>
      <c r="W226" s="12"/>
      <c r="X226" s="12"/>
      <c r="Y226" s="12"/>
      <c r="Z226" s="12"/>
      <c r="AA226" s="12"/>
      <c r="AB226" s="12"/>
      <c r="AC226" s="13">
        <v>4</v>
      </c>
      <c r="AD226" s="12"/>
      <c r="AE226" s="12"/>
      <c r="AF226" s="12"/>
      <c r="AG226" s="12"/>
      <c r="AH226" s="12"/>
      <c r="AI226" s="12"/>
      <c r="AJ226" s="12"/>
      <c r="AK226" s="12"/>
      <c r="AL226" s="12"/>
      <c r="AM226" s="12"/>
      <c r="AN226" s="12"/>
      <c r="AO226" s="13">
        <v>5</v>
      </c>
      <c r="AP226" s="12"/>
      <c r="AQ226" s="12"/>
      <c r="AR226" s="13">
        <v>2</v>
      </c>
      <c r="AS226" s="12"/>
      <c r="AT226" s="12"/>
      <c r="AU226" s="12"/>
      <c r="AV226" s="12"/>
      <c r="AW226" s="12"/>
      <c r="AX226" s="12"/>
      <c r="AY226" s="13">
        <v>1</v>
      </c>
      <c r="AZ226" s="12"/>
      <c r="BA226" s="12"/>
      <c r="BB226" s="12"/>
      <c r="BC226" s="12"/>
      <c r="BD226" s="12"/>
      <c r="BE226" s="12"/>
      <c r="BF226" s="12"/>
      <c r="BG226" s="12"/>
      <c r="BH226" s="13">
        <f t="shared" si="5"/>
        <v>12</v>
      </c>
      <c r="BI226" s="14">
        <f>BH226*828.144166666667</f>
        <v>9937.730000000005</v>
      </c>
    </row>
    <row r="227" spans="1:61" ht="76.5" x14ac:dyDescent="0.25">
      <c r="A227" s="10">
        <v>222</v>
      </c>
      <c r="B227" s="11" t="s">
        <v>734</v>
      </c>
      <c r="C227" s="10" t="s">
        <v>734</v>
      </c>
      <c r="D227" s="10" t="s">
        <v>735</v>
      </c>
      <c r="E227" s="10" t="s">
        <v>736</v>
      </c>
      <c r="F227" s="10" t="s">
        <v>67</v>
      </c>
      <c r="G227" s="12"/>
      <c r="H227" s="12"/>
      <c r="I227" s="12"/>
      <c r="J227" s="12"/>
      <c r="K227" s="12"/>
      <c r="L227" s="12"/>
      <c r="M227" s="12"/>
      <c r="N227" s="12"/>
      <c r="O227" s="12"/>
      <c r="P227" s="12"/>
      <c r="Q227" s="12"/>
      <c r="R227" s="12"/>
      <c r="S227" s="12"/>
      <c r="T227" s="12"/>
      <c r="U227" s="12"/>
      <c r="V227" s="12"/>
      <c r="W227" s="12"/>
      <c r="X227" s="12"/>
      <c r="Y227" s="12"/>
      <c r="Z227" s="12"/>
      <c r="AA227" s="12"/>
      <c r="AB227" s="12"/>
      <c r="AC227" s="13">
        <v>4</v>
      </c>
      <c r="AD227" s="12"/>
      <c r="AE227" s="12"/>
      <c r="AF227" s="13">
        <v>1</v>
      </c>
      <c r="AG227" s="12"/>
      <c r="AH227" s="12"/>
      <c r="AI227" s="12"/>
      <c r="AJ227" s="12"/>
      <c r="AK227" s="12"/>
      <c r="AL227" s="12"/>
      <c r="AM227" s="12"/>
      <c r="AN227" s="12"/>
      <c r="AO227" s="13">
        <v>1</v>
      </c>
      <c r="AP227" s="12"/>
      <c r="AQ227" s="12"/>
      <c r="AR227" s="12"/>
      <c r="AS227" s="12"/>
      <c r="AT227" s="12"/>
      <c r="AU227" s="12"/>
      <c r="AV227" s="13">
        <v>1</v>
      </c>
      <c r="AW227" s="12"/>
      <c r="AX227" s="12"/>
      <c r="AY227" s="12"/>
      <c r="AZ227" s="12"/>
      <c r="BA227" s="12"/>
      <c r="BB227" s="12"/>
      <c r="BC227" s="12"/>
      <c r="BD227" s="12"/>
      <c r="BE227" s="12"/>
      <c r="BF227" s="12"/>
      <c r="BG227" s="12"/>
      <c r="BH227" s="13">
        <f t="shared" si="5"/>
        <v>7</v>
      </c>
      <c r="BI227" s="14">
        <f>BH227*4000.00857142857</f>
        <v>28000.05999999999</v>
      </c>
    </row>
    <row r="228" spans="1:61" ht="51" x14ac:dyDescent="0.25">
      <c r="A228" s="10">
        <v>223</v>
      </c>
      <c r="B228" s="11" t="s">
        <v>737</v>
      </c>
      <c r="C228" s="10" t="s">
        <v>737</v>
      </c>
      <c r="D228" s="10" t="s">
        <v>738</v>
      </c>
      <c r="E228" s="10" t="s">
        <v>739</v>
      </c>
      <c r="F228" s="10" t="s">
        <v>67</v>
      </c>
      <c r="G228" s="12"/>
      <c r="H228" s="12"/>
      <c r="I228" s="12"/>
      <c r="J228" s="12"/>
      <c r="K228" s="12"/>
      <c r="L228" s="12"/>
      <c r="M228" s="12"/>
      <c r="N228" s="12"/>
      <c r="O228" s="12"/>
      <c r="P228" s="12"/>
      <c r="Q228" s="12"/>
      <c r="R228" s="12"/>
      <c r="S228" s="12"/>
      <c r="T228" s="12"/>
      <c r="U228" s="12"/>
      <c r="V228" s="12"/>
      <c r="W228" s="12"/>
      <c r="X228" s="12"/>
      <c r="Y228" s="12"/>
      <c r="Z228" s="12"/>
      <c r="AA228" s="12"/>
      <c r="AB228" s="12"/>
      <c r="AC228" s="13">
        <v>2</v>
      </c>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3">
        <f t="shared" si="5"/>
        <v>2</v>
      </c>
      <c r="BI228" s="14">
        <f>BH228*745.32</f>
        <v>1490.64</v>
      </c>
    </row>
    <row r="229" spans="1:61" ht="51" x14ac:dyDescent="0.25">
      <c r="A229" s="10">
        <v>224</v>
      </c>
      <c r="B229" s="11" t="s">
        <v>740</v>
      </c>
      <c r="C229" s="10" t="s">
        <v>740</v>
      </c>
      <c r="D229" s="11" t="s">
        <v>741</v>
      </c>
      <c r="E229" s="10" t="s">
        <v>742</v>
      </c>
      <c r="F229" s="10" t="s">
        <v>67</v>
      </c>
      <c r="G229" s="12"/>
      <c r="H229" s="12"/>
      <c r="I229" s="12"/>
      <c r="J229" s="12"/>
      <c r="K229" s="12"/>
      <c r="L229" s="12"/>
      <c r="M229" s="12"/>
      <c r="N229" s="12"/>
      <c r="O229" s="12"/>
      <c r="P229" s="12"/>
      <c r="Q229" s="12"/>
      <c r="R229" s="12"/>
      <c r="S229" s="12"/>
      <c r="T229" s="12"/>
      <c r="U229" s="12"/>
      <c r="V229" s="12"/>
      <c r="W229" s="12"/>
      <c r="X229" s="12"/>
      <c r="Y229" s="12"/>
      <c r="Z229" s="12"/>
      <c r="AA229" s="12"/>
      <c r="AB229" s="12"/>
      <c r="AC229" s="13">
        <v>2</v>
      </c>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3">
        <f t="shared" si="5"/>
        <v>2</v>
      </c>
      <c r="BI229" s="14">
        <f t="shared" ref="BI229:BI235" si="6">BH229*745.32</f>
        <v>1490.64</v>
      </c>
    </row>
    <row r="230" spans="1:61" ht="51" x14ac:dyDescent="0.25">
      <c r="A230" s="10">
        <v>225</v>
      </c>
      <c r="B230" s="11" t="s">
        <v>743</v>
      </c>
      <c r="C230" s="10" t="s">
        <v>743</v>
      </c>
      <c r="D230" s="11" t="s">
        <v>744</v>
      </c>
      <c r="E230" s="10" t="s">
        <v>745</v>
      </c>
      <c r="F230" s="10" t="s">
        <v>67</v>
      </c>
      <c r="G230" s="12"/>
      <c r="H230" s="12"/>
      <c r="I230" s="12"/>
      <c r="J230" s="12"/>
      <c r="K230" s="12"/>
      <c r="L230" s="12"/>
      <c r="M230" s="12"/>
      <c r="N230" s="12"/>
      <c r="O230" s="12"/>
      <c r="P230" s="12"/>
      <c r="Q230" s="12"/>
      <c r="R230" s="12"/>
      <c r="S230" s="12"/>
      <c r="T230" s="12"/>
      <c r="U230" s="12"/>
      <c r="V230" s="12"/>
      <c r="W230" s="12"/>
      <c r="X230" s="12"/>
      <c r="Y230" s="12"/>
      <c r="Z230" s="12"/>
      <c r="AA230" s="12"/>
      <c r="AB230" s="12"/>
      <c r="AC230" s="13">
        <v>2</v>
      </c>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3">
        <f t="shared" si="5"/>
        <v>2</v>
      </c>
      <c r="BI230" s="14">
        <f t="shared" si="6"/>
        <v>1490.64</v>
      </c>
    </row>
    <row r="231" spans="1:61" ht="51" x14ac:dyDescent="0.25">
      <c r="A231" s="10">
        <v>226</v>
      </c>
      <c r="B231" s="11" t="s">
        <v>746</v>
      </c>
      <c r="C231" s="10" t="s">
        <v>746</v>
      </c>
      <c r="D231" s="11" t="s">
        <v>747</v>
      </c>
      <c r="E231" s="10" t="s">
        <v>748</v>
      </c>
      <c r="F231" s="10" t="s">
        <v>67</v>
      </c>
      <c r="G231" s="12"/>
      <c r="H231" s="12"/>
      <c r="I231" s="12"/>
      <c r="J231" s="12"/>
      <c r="K231" s="12"/>
      <c r="L231" s="12"/>
      <c r="M231" s="12"/>
      <c r="N231" s="12"/>
      <c r="O231" s="12"/>
      <c r="P231" s="12"/>
      <c r="Q231" s="12"/>
      <c r="R231" s="12"/>
      <c r="S231" s="12"/>
      <c r="T231" s="12"/>
      <c r="U231" s="12"/>
      <c r="V231" s="12"/>
      <c r="W231" s="12"/>
      <c r="X231" s="12"/>
      <c r="Y231" s="12"/>
      <c r="Z231" s="12"/>
      <c r="AA231" s="12"/>
      <c r="AB231" s="12"/>
      <c r="AC231" s="13">
        <v>2</v>
      </c>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3">
        <v>2</v>
      </c>
      <c r="BE231" s="12"/>
      <c r="BF231" s="12"/>
      <c r="BG231" s="12"/>
      <c r="BH231" s="13">
        <f t="shared" si="5"/>
        <v>4</v>
      </c>
      <c r="BI231" s="14">
        <f t="shared" si="6"/>
        <v>2981.28</v>
      </c>
    </row>
    <row r="232" spans="1:61" ht="51" x14ac:dyDescent="0.25">
      <c r="A232" s="10">
        <v>227</v>
      </c>
      <c r="B232" s="11" t="s">
        <v>749</v>
      </c>
      <c r="C232" s="10" t="s">
        <v>749</v>
      </c>
      <c r="D232" s="11" t="s">
        <v>750</v>
      </c>
      <c r="E232" s="10" t="s">
        <v>751</v>
      </c>
      <c r="F232" s="10" t="s">
        <v>67</v>
      </c>
      <c r="G232" s="12"/>
      <c r="H232" s="12"/>
      <c r="I232" s="12"/>
      <c r="J232" s="12"/>
      <c r="K232" s="12"/>
      <c r="L232" s="12"/>
      <c r="M232" s="12"/>
      <c r="N232" s="12"/>
      <c r="O232" s="12"/>
      <c r="P232" s="12"/>
      <c r="Q232" s="12"/>
      <c r="R232" s="12"/>
      <c r="S232" s="12"/>
      <c r="T232" s="12"/>
      <c r="U232" s="12"/>
      <c r="V232" s="12"/>
      <c r="W232" s="12"/>
      <c r="X232" s="12"/>
      <c r="Y232" s="12"/>
      <c r="Z232" s="12"/>
      <c r="AA232" s="12"/>
      <c r="AB232" s="12"/>
      <c r="AC232" s="13">
        <v>2</v>
      </c>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3">
        <f t="shared" si="5"/>
        <v>2</v>
      </c>
      <c r="BI232" s="14">
        <f t="shared" si="6"/>
        <v>1490.64</v>
      </c>
    </row>
    <row r="233" spans="1:61" ht="51" x14ac:dyDescent="0.25">
      <c r="A233" s="10">
        <v>228</v>
      </c>
      <c r="B233" s="11" t="s">
        <v>752</v>
      </c>
      <c r="C233" s="10" t="s">
        <v>752</v>
      </c>
      <c r="D233" s="11" t="s">
        <v>753</v>
      </c>
      <c r="E233" s="10" t="s">
        <v>754</v>
      </c>
      <c r="F233" s="10" t="s">
        <v>67</v>
      </c>
      <c r="G233" s="12"/>
      <c r="H233" s="12"/>
      <c r="I233" s="12"/>
      <c r="J233" s="12"/>
      <c r="K233" s="12"/>
      <c r="L233" s="12"/>
      <c r="M233" s="12"/>
      <c r="N233" s="12"/>
      <c r="O233" s="12"/>
      <c r="P233" s="12"/>
      <c r="Q233" s="12"/>
      <c r="R233" s="12"/>
      <c r="S233" s="12"/>
      <c r="T233" s="12"/>
      <c r="U233" s="12"/>
      <c r="V233" s="12"/>
      <c r="W233" s="12"/>
      <c r="X233" s="12"/>
      <c r="Y233" s="12"/>
      <c r="Z233" s="12"/>
      <c r="AA233" s="12"/>
      <c r="AB233" s="12"/>
      <c r="AC233" s="13">
        <v>2</v>
      </c>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3">
        <v>1</v>
      </c>
      <c r="BE233" s="12"/>
      <c r="BF233" s="12"/>
      <c r="BG233" s="12"/>
      <c r="BH233" s="13">
        <f t="shared" si="5"/>
        <v>3</v>
      </c>
      <c r="BI233" s="14">
        <f t="shared" si="6"/>
        <v>2235.96</v>
      </c>
    </row>
    <row r="234" spans="1:61" ht="51" x14ac:dyDescent="0.25">
      <c r="A234" s="10">
        <v>229</v>
      </c>
      <c r="B234" s="11" t="s">
        <v>755</v>
      </c>
      <c r="C234" s="10" t="s">
        <v>755</v>
      </c>
      <c r="D234" s="11" t="s">
        <v>756</v>
      </c>
      <c r="E234" s="10" t="s">
        <v>757</v>
      </c>
      <c r="F234" s="10" t="s">
        <v>67</v>
      </c>
      <c r="G234" s="12"/>
      <c r="H234" s="12"/>
      <c r="I234" s="12"/>
      <c r="J234" s="12"/>
      <c r="K234" s="12"/>
      <c r="L234" s="12"/>
      <c r="M234" s="12"/>
      <c r="N234" s="12"/>
      <c r="O234" s="12"/>
      <c r="P234" s="12"/>
      <c r="Q234" s="12"/>
      <c r="R234" s="12"/>
      <c r="S234" s="12"/>
      <c r="T234" s="12"/>
      <c r="U234" s="12"/>
      <c r="V234" s="12"/>
      <c r="W234" s="12"/>
      <c r="X234" s="12"/>
      <c r="Y234" s="12"/>
      <c r="Z234" s="12"/>
      <c r="AA234" s="12"/>
      <c r="AB234" s="12"/>
      <c r="AC234" s="13">
        <v>2</v>
      </c>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3">
        <f t="shared" si="5"/>
        <v>2</v>
      </c>
      <c r="BI234" s="14">
        <f t="shared" si="6"/>
        <v>1490.64</v>
      </c>
    </row>
    <row r="235" spans="1:61" ht="51" x14ac:dyDescent="0.25">
      <c r="A235" s="10">
        <v>230</v>
      </c>
      <c r="B235" s="11" t="s">
        <v>758</v>
      </c>
      <c r="C235" s="10" t="s">
        <v>758</v>
      </c>
      <c r="D235" s="11" t="s">
        <v>759</v>
      </c>
      <c r="E235" s="10" t="s">
        <v>760</v>
      </c>
      <c r="F235" s="10" t="s">
        <v>67</v>
      </c>
      <c r="G235" s="12"/>
      <c r="H235" s="12"/>
      <c r="I235" s="12"/>
      <c r="J235" s="12"/>
      <c r="K235" s="12"/>
      <c r="L235" s="12"/>
      <c r="M235" s="12"/>
      <c r="N235" s="12"/>
      <c r="O235" s="12"/>
      <c r="P235" s="12"/>
      <c r="Q235" s="12"/>
      <c r="R235" s="12"/>
      <c r="S235" s="12"/>
      <c r="T235" s="12"/>
      <c r="U235" s="12"/>
      <c r="V235" s="12"/>
      <c r="W235" s="12"/>
      <c r="X235" s="12"/>
      <c r="Y235" s="12"/>
      <c r="Z235" s="12"/>
      <c r="AA235" s="12"/>
      <c r="AB235" s="12"/>
      <c r="AC235" s="13">
        <v>2</v>
      </c>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3">
        <f t="shared" si="5"/>
        <v>2</v>
      </c>
      <c r="BI235" s="14">
        <f t="shared" si="6"/>
        <v>1490.64</v>
      </c>
    </row>
    <row r="236" spans="1:61" ht="89.25" x14ac:dyDescent="0.25">
      <c r="A236" s="10">
        <v>231</v>
      </c>
      <c r="B236" s="11" t="s">
        <v>761</v>
      </c>
      <c r="C236" s="10" t="s">
        <v>761</v>
      </c>
      <c r="D236" s="10" t="s">
        <v>762</v>
      </c>
      <c r="E236" s="10" t="s">
        <v>763</v>
      </c>
      <c r="F236" s="10" t="s">
        <v>67</v>
      </c>
      <c r="G236" s="12"/>
      <c r="H236" s="12"/>
      <c r="I236" s="12"/>
      <c r="J236" s="12"/>
      <c r="K236" s="12"/>
      <c r="L236" s="12"/>
      <c r="M236" s="12"/>
      <c r="N236" s="12"/>
      <c r="O236" s="12"/>
      <c r="P236" s="12"/>
      <c r="Q236" s="12"/>
      <c r="R236" s="12"/>
      <c r="S236" s="12"/>
      <c r="T236" s="12"/>
      <c r="U236" s="12"/>
      <c r="V236" s="12"/>
      <c r="W236" s="12"/>
      <c r="X236" s="12"/>
      <c r="Y236" s="12"/>
      <c r="Z236" s="12"/>
      <c r="AA236" s="12"/>
      <c r="AB236" s="12"/>
      <c r="AC236" s="13">
        <v>2</v>
      </c>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3">
        <f t="shared" si="5"/>
        <v>2</v>
      </c>
      <c r="BI236" s="14">
        <f>BH236*8000.005</f>
        <v>16000.01</v>
      </c>
    </row>
    <row r="237" spans="1:61" ht="63.75" x14ac:dyDescent="0.25">
      <c r="A237" s="10">
        <v>232</v>
      </c>
      <c r="B237" s="11" t="s">
        <v>764</v>
      </c>
      <c r="C237" s="10" t="s">
        <v>764</v>
      </c>
      <c r="D237" s="11" t="s">
        <v>765</v>
      </c>
      <c r="E237" s="10" t="s">
        <v>766</v>
      </c>
      <c r="F237" s="10" t="s">
        <v>67</v>
      </c>
      <c r="G237" s="12"/>
      <c r="H237" s="12"/>
      <c r="I237" s="12"/>
      <c r="J237" s="12"/>
      <c r="K237" s="12"/>
      <c r="L237" s="12"/>
      <c r="M237" s="12"/>
      <c r="N237" s="12"/>
      <c r="O237" s="12"/>
      <c r="P237" s="12"/>
      <c r="Q237" s="12"/>
      <c r="R237" s="12"/>
      <c r="S237" s="12"/>
      <c r="T237" s="12"/>
      <c r="U237" s="12"/>
      <c r="V237" s="12"/>
      <c r="W237" s="12"/>
      <c r="X237" s="12"/>
      <c r="Y237" s="12"/>
      <c r="Z237" s="12"/>
      <c r="AA237" s="12"/>
      <c r="AB237" s="12"/>
      <c r="AC237" s="13">
        <v>2</v>
      </c>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3">
        <f t="shared" si="5"/>
        <v>2</v>
      </c>
      <c r="BI237" s="14">
        <f>BH237*2000.005</f>
        <v>4000.01</v>
      </c>
    </row>
    <row r="238" spans="1:61" ht="63.75" x14ac:dyDescent="0.25">
      <c r="A238" s="10">
        <v>233</v>
      </c>
      <c r="B238" s="11" t="s">
        <v>767</v>
      </c>
      <c r="C238" s="10" t="s">
        <v>767</v>
      </c>
      <c r="D238" s="11" t="s">
        <v>768</v>
      </c>
      <c r="E238" s="10" t="s">
        <v>769</v>
      </c>
      <c r="F238" s="10" t="s">
        <v>67</v>
      </c>
      <c r="G238" s="12"/>
      <c r="H238" s="12"/>
      <c r="I238" s="12"/>
      <c r="J238" s="12"/>
      <c r="K238" s="12"/>
      <c r="L238" s="12"/>
      <c r="M238" s="12"/>
      <c r="N238" s="12"/>
      <c r="O238" s="12"/>
      <c r="P238" s="12"/>
      <c r="Q238" s="12"/>
      <c r="R238" s="12"/>
      <c r="S238" s="12"/>
      <c r="T238" s="12"/>
      <c r="U238" s="12"/>
      <c r="V238" s="12"/>
      <c r="W238" s="12"/>
      <c r="X238" s="12"/>
      <c r="Y238" s="12"/>
      <c r="Z238" s="12"/>
      <c r="AA238" s="12"/>
      <c r="AB238" s="12"/>
      <c r="AC238" s="13">
        <v>2</v>
      </c>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3">
        <f t="shared" si="5"/>
        <v>2</v>
      </c>
      <c r="BI238" s="14">
        <f>BH238*3000</f>
        <v>6000</v>
      </c>
    </row>
    <row r="239" spans="1:61" ht="63.75" x14ac:dyDescent="0.25">
      <c r="A239" s="10">
        <v>234</v>
      </c>
      <c r="B239" s="11" t="s">
        <v>770</v>
      </c>
      <c r="C239" s="10" t="s">
        <v>770</v>
      </c>
      <c r="D239" s="11" t="s">
        <v>771</v>
      </c>
      <c r="E239" s="10" t="s">
        <v>772</v>
      </c>
      <c r="F239" s="10" t="s">
        <v>67</v>
      </c>
      <c r="G239" s="12"/>
      <c r="H239" s="12"/>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3">
        <v>1</v>
      </c>
      <c r="AG239" s="12"/>
      <c r="AH239" s="12"/>
      <c r="AI239" s="12"/>
      <c r="AJ239" s="12"/>
      <c r="AK239" s="12"/>
      <c r="AL239" s="12"/>
      <c r="AM239" s="12"/>
      <c r="AN239" s="12"/>
      <c r="AO239" s="12"/>
      <c r="AP239" s="12"/>
      <c r="AQ239" s="12"/>
      <c r="AR239" s="13">
        <v>5</v>
      </c>
      <c r="AS239" s="12"/>
      <c r="AT239" s="12"/>
      <c r="AU239" s="12"/>
      <c r="AV239" s="13">
        <v>1</v>
      </c>
      <c r="AW239" s="12"/>
      <c r="AX239" s="12"/>
      <c r="AY239" s="12"/>
      <c r="AZ239" s="12"/>
      <c r="BA239" s="12"/>
      <c r="BB239" s="12"/>
      <c r="BC239" s="12"/>
      <c r="BD239" s="12"/>
      <c r="BE239" s="12"/>
      <c r="BF239" s="12"/>
      <c r="BG239" s="12"/>
      <c r="BH239" s="13">
        <f t="shared" si="5"/>
        <v>7</v>
      </c>
      <c r="BI239" s="14">
        <f>BH239*3000</f>
        <v>21000</v>
      </c>
    </row>
    <row r="240" spans="1:61" ht="38.25" x14ac:dyDescent="0.25">
      <c r="A240" s="10">
        <v>235</v>
      </c>
      <c r="B240" s="11" t="s">
        <v>773</v>
      </c>
      <c r="C240" s="10" t="s">
        <v>773</v>
      </c>
      <c r="D240" s="10" t="s">
        <v>774</v>
      </c>
      <c r="E240" s="10" t="s">
        <v>775</v>
      </c>
      <c r="F240" s="10" t="s">
        <v>67</v>
      </c>
      <c r="G240" s="12"/>
      <c r="H240" s="12"/>
      <c r="I240" s="12"/>
      <c r="J240" s="12"/>
      <c r="K240" s="12"/>
      <c r="L240" s="12"/>
      <c r="M240" s="12"/>
      <c r="N240" s="12"/>
      <c r="O240" s="12"/>
      <c r="P240" s="12"/>
      <c r="Q240" s="12"/>
      <c r="R240" s="12"/>
      <c r="S240" s="12"/>
      <c r="T240" s="12"/>
      <c r="U240" s="12"/>
      <c r="V240" s="12"/>
      <c r="W240" s="12"/>
      <c r="X240" s="12"/>
      <c r="Y240" s="12"/>
      <c r="Z240" s="12"/>
      <c r="AA240" s="12"/>
      <c r="AB240" s="12"/>
      <c r="AC240" s="13">
        <v>4</v>
      </c>
      <c r="AD240" s="12"/>
      <c r="AE240" s="12"/>
      <c r="AF240" s="12"/>
      <c r="AG240" s="12"/>
      <c r="AH240" s="12"/>
      <c r="AI240" s="12"/>
      <c r="AJ240" s="12"/>
      <c r="AK240" s="12"/>
      <c r="AL240" s="12"/>
      <c r="AM240" s="12"/>
      <c r="AN240" s="12"/>
      <c r="AO240" s="13">
        <v>2</v>
      </c>
      <c r="AP240" s="12"/>
      <c r="AQ240" s="12"/>
      <c r="AR240" s="12"/>
      <c r="AS240" s="12"/>
      <c r="AT240" s="12"/>
      <c r="AU240" s="12"/>
      <c r="AV240" s="12"/>
      <c r="AW240" s="12"/>
      <c r="AX240" s="12"/>
      <c r="AY240" s="12"/>
      <c r="AZ240" s="12"/>
      <c r="BA240" s="12"/>
      <c r="BB240" s="12"/>
      <c r="BC240" s="12"/>
      <c r="BD240" s="12"/>
      <c r="BE240" s="12"/>
      <c r="BF240" s="12"/>
      <c r="BG240" s="12"/>
      <c r="BH240" s="13">
        <f t="shared" si="5"/>
        <v>6</v>
      </c>
      <c r="BI240" s="14">
        <f>BH240*1159.39166666667</f>
        <v>6956.3500000000204</v>
      </c>
    </row>
    <row r="241" spans="1:61" ht="89.25" x14ac:dyDescent="0.25">
      <c r="A241" s="10">
        <v>236</v>
      </c>
      <c r="B241" s="11" t="s">
        <v>776</v>
      </c>
      <c r="C241" s="10" t="s">
        <v>776</v>
      </c>
      <c r="D241" s="11" t="s">
        <v>777</v>
      </c>
      <c r="E241" s="10" t="s">
        <v>778</v>
      </c>
      <c r="F241" s="10" t="s">
        <v>67</v>
      </c>
      <c r="G241" s="12"/>
      <c r="H241" s="12"/>
      <c r="I241" s="12"/>
      <c r="J241" s="12"/>
      <c r="K241" s="12"/>
      <c r="L241" s="12"/>
      <c r="M241" s="12"/>
      <c r="N241" s="12"/>
      <c r="O241" s="12"/>
      <c r="P241" s="12"/>
      <c r="Q241" s="12"/>
      <c r="R241" s="12"/>
      <c r="S241" s="12"/>
      <c r="T241" s="12"/>
      <c r="U241" s="12"/>
      <c r="V241" s="12"/>
      <c r="W241" s="12"/>
      <c r="X241" s="12"/>
      <c r="Y241" s="13">
        <v>6</v>
      </c>
      <c r="Z241" s="13">
        <v>30</v>
      </c>
      <c r="AA241" s="12"/>
      <c r="AB241" s="12"/>
      <c r="AC241" s="13">
        <v>4</v>
      </c>
      <c r="AD241" s="12"/>
      <c r="AE241" s="12"/>
      <c r="AF241" s="12"/>
      <c r="AG241" s="12"/>
      <c r="AH241" s="13">
        <v>40</v>
      </c>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3">
        <v>10</v>
      </c>
      <c r="BE241" s="12"/>
      <c r="BF241" s="12"/>
      <c r="BG241" s="12"/>
      <c r="BH241" s="13">
        <f t="shared" si="5"/>
        <v>90</v>
      </c>
      <c r="BI241" s="14">
        <f>BH241*865.2</f>
        <v>77868</v>
      </c>
    </row>
    <row r="242" spans="1:61" ht="63.75" x14ac:dyDescent="0.25">
      <c r="A242" s="10">
        <v>237</v>
      </c>
      <c r="B242" s="11" t="s">
        <v>779</v>
      </c>
      <c r="C242" s="10" t="s">
        <v>779</v>
      </c>
      <c r="D242" s="10" t="s">
        <v>780</v>
      </c>
      <c r="E242" s="10" t="s">
        <v>781</v>
      </c>
      <c r="F242" s="10" t="s">
        <v>67</v>
      </c>
      <c r="G242" s="12"/>
      <c r="H242" s="12"/>
      <c r="I242" s="12"/>
      <c r="J242" s="12"/>
      <c r="K242" s="12"/>
      <c r="L242" s="12"/>
      <c r="M242" s="12"/>
      <c r="N242" s="12"/>
      <c r="O242" s="12"/>
      <c r="P242" s="12"/>
      <c r="Q242" s="12"/>
      <c r="R242" s="12"/>
      <c r="S242" s="12"/>
      <c r="T242" s="12"/>
      <c r="U242" s="12"/>
      <c r="V242" s="12"/>
      <c r="W242" s="12"/>
      <c r="X242" s="12"/>
      <c r="Y242" s="12"/>
      <c r="Z242" s="12"/>
      <c r="AA242" s="12"/>
      <c r="AB242" s="12"/>
      <c r="AC242" s="13">
        <v>4</v>
      </c>
      <c r="AD242" s="12"/>
      <c r="AE242" s="12"/>
      <c r="AF242" s="12"/>
      <c r="AG242" s="12"/>
      <c r="AH242" s="12"/>
      <c r="AI242" s="12"/>
      <c r="AJ242" s="12"/>
      <c r="AK242" s="12"/>
      <c r="AL242" s="12"/>
      <c r="AM242" s="12"/>
      <c r="AN242" s="12"/>
      <c r="AO242" s="13">
        <v>2</v>
      </c>
      <c r="AP242" s="12"/>
      <c r="AQ242" s="12"/>
      <c r="AR242" s="12"/>
      <c r="AS242" s="12"/>
      <c r="AT242" s="12"/>
      <c r="AU242" s="12"/>
      <c r="AV242" s="12"/>
      <c r="AW242" s="12"/>
      <c r="AX242" s="12"/>
      <c r="AY242" s="12"/>
      <c r="AZ242" s="12"/>
      <c r="BA242" s="12"/>
      <c r="BB242" s="12"/>
      <c r="BC242" s="12"/>
      <c r="BD242" s="12"/>
      <c r="BE242" s="12"/>
      <c r="BF242" s="12"/>
      <c r="BG242" s="12"/>
      <c r="BH242" s="13">
        <f t="shared" si="5"/>
        <v>6</v>
      </c>
      <c r="BI242" s="14">
        <f>BH242*2000.00333333333</f>
        <v>12000.019999999979</v>
      </c>
    </row>
    <row r="243" spans="1:61" ht="76.5" x14ac:dyDescent="0.25">
      <c r="A243" s="10">
        <v>238</v>
      </c>
      <c r="B243" s="11" t="s">
        <v>782</v>
      </c>
      <c r="C243" s="10" t="s">
        <v>782</v>
      </c>
      <c r="D243" s="10" t="s">
        <v>783</v>
      </c>
      <c r="E243" s="10" t="s">
        <v>784</v>
      </c>
      <c r="F243" s="10" t="s">
        <v>67</v>
      </c>
      <c r="G243" s="12"/>
      <c r="H243" s="12"/>
      <c r="I243" s="12"/>
      <c r="J243" s="12"/>
      <c r="K243" s="12"/>
      <c r="L243" s="12"/>
      <c r="M243" s="12"/>
      <c r="N243" s="12"/>
      <c r="O243" s="12"/>
      <c r="P243" s="12"/>
      <c r="Q243" s="12"/>
      <c r="R243" s="12"/>
      <c r="S243" s="12"/>
      <c r="T243" s="12"/>
      <c r="U243" s="12"/>
      <c r="V243" s="12"/>
      <c r="W243" s="12"/>
      <c r="X243" s="12"/>
      <c r="Y243" s="12"/>
      <c r="Z243" s="12"/>
      <c r="AA243" s="12"/>
      <c r="AB243" s="12"/>
      <c r="AC243" s="13">
        <v>10</v>
      </c>
      <c r="AD243" s="12"/>
      <c r="AE243" s="12"/>
      <c r="AF243" s="13">
        <v>1</v>
      </c>
      <c r="AG243" s="12"/>
      <c r="AH243" s="12"/>
      <c r="AI243" s="12"/>
      <c r="AJ243" s="12"/>
      <c r="AK243" s="12"/>
      <c r="AL243" s="12"/>
      <c r="AM243" s="12"/>
      <c r="AN243" s="12"/>
      <c r="AO243" s="12"/>
      <c r="AP243" s="12"/>
      <c r="AQ243" s="12"/>
      <c r="AR243" s="13">
        <v>2</v>
      </c>
      <c r="AS243" s="12"/>
      <c r="AT243" s="12"/>
      <c r="AU243" s="12"/>
      <c r="AV243" s="12"/>
      <c r="AW243" s="12"/>
      <c r="AX243" s="12"/>
      <c r="AY243" s="12"/>
      <c r="AZ243" s="12"/>
      <c r="BA243" s="12"/>
      <c r="BB243" s="12"/>
      <c r="BC243" s="12"/>
      <c r="BD243" s="12"/>
      <c r="BE243" s="12"/>
      <c r="BF243" s="12"/>
      <c r="BG243" s="12"/>
      <c r="BH243" s="13">
        <f t="shared" si="5"/>
        <v>13</v>
      </c>
      <c r="BI243" s="14">
        <f>BH243*2000.00384615385</f>
        <v>26000.05000000005</v>
      </c>
    </row>
    <row r="244" spans="1:61" ht="76.5" x14ac:dyDescent="0.25">
      <c r="A244" s="10">
        <v>239</v>
      </c>
      <c r="B244" s="11" t="s">
        <v>785</v>
      </c>
      <c r="C244" s="10" t="s">
        <v>785</v>
      </c>
      <c r="D244" s="11" t="s">
        <v>786</v>
      </c>
      <c r="E244" s="10" t="s">
        <v>787</v>
      </c>
      <c r="F244" s="10" t="s">
        <v>67</v>
      </c>
      <c r="G244" s="12"/>
      <c r="H244" s="12"/>
      <c r="I244" s="12"/>
      <c r="J244" s="12"/>
      <c r="K244" s="12"/>
      <c r="L244" s="12"/>
      <c r="M244" s="12"/>
      <c r="N244" s="12"/>
      <c r="O244" s="12"/>
      <c r="P244" s="12"/>
      <c r="Q244" s="12"/>
      <c r="R244" s="12"/>
      <c r="S244" s="12"/>
      <c r="T244" s="12"/>
      <c r="U244" s="12"/>
      <c r="V244" s="12"/>
      <c r="W244" s="12"/>
      <c r="X244" s="12"/>
      <c r="Y244" s="12"/>
      <c r="Z244" s="12"/>
      <c r="AA244" s="12"/>
      <c r="AB244" s="12"/>
      <c r="AC244" s="13">
        <v>10</v>
      </c>
      <c r="AD244" s="12"/>
      <c r="AE244" s="12"/>
      <c r="AF244" s="13">
        <v>1</v>
      </c>
      <c r="AG244" s="12"/>
      <c r="AH244" s="12"/>
      <c r="AI244" s="12"/>
      <c r="AJ244" s="12"/>
      <c r="AK244" s="12"/>
      <c r="AL244" s="12"/>
      <c r="AM244" s="12"/>
      <c r="AN244" s="12"/>
      <c r="AO244" s="13">
        <v>4</v>
      </c>
      <c r="AP244" s="12"/>
      <c r="AQ244" s="12"/>
      <c r="AR244" s="13">
        <v>2</v>
      </c>
      <c r="AS244" s="12"/>
      <c r="AT244" s="12"/>
      <c r="AU244" s="12"/>
      <c r="AV244" s="12"/>
      <c r="AW244" s="12"/>
      <c r="AX244" s="12"/>
      <c r="AY244" s="12"/>
      <c r="AZ244" s="12"/>
      <c r="BA244" s="12"/>
      <c r="BB244" s="12"/>
      <c r="BC244" s="12"/>
      <c r="BD244" s="12"/>
      <c r="BE244" s="12"/>
      <c r="BF244" s="12"/>
      <c r="BG244" s="12"/>
      <c r="BH244" s="13">
        <f t="shared" si="5"/>
        <v>17</v>
      </c>
      <c r="BI244" s="14">
        <f>BH244*2000.00411764706</f>
        <v>34000.070000000022</v>
      </c>
    </row>
    <row r="245" spans="1:61" ht="63.75" x14ac:dyDescent="0.25">
      <c r="A245" s="10">
        <v>240</v>
      </c>
      <c r="B245" s="11" t="s">
        <v>788</v>
      </c>
      <c r="C245" s="10" t="s">
        <v>788</v>
      </c>
      <c r="D245" s="11" t="s">
        <v>789</v>
      </c>
      <c r="E245" s="10" t="s">
        <v>790</v>
      </c>
      <c r="F245" s="10" t="s">
        <v>67</v>
      </c>
      <c r="G245" s="12"/>
      <c r="H245" s="12"/>
      <c r="I245" s="12"/>
      <c r="J245" s="12"/>
      <c r="K245" s="12"/>
      <c r="L245" s="12"/>
      <c r="M245" s="12"/>
      <c r="N245" s="12"/>
      <c r="O245" s="12"/>
      <c r="P245" s="12"/>
      <c r="Q245" s="12"/>
      <c r="R245" s="12"/>
      <c r="S245" s="12"/>
      <c r="T245" s="12"/>
      <c r="U245" s="12"/>
      <c r="V245" s="12"/>
      <c r="W245" s="12"/>
      <c r="X245" s="12"/>
      <c r="Y245" s="12"/>
      <c r="Z245" s="12"/>
      <c r="AA245" s="12"/>
      <c r="AB245" s="12"/>
      <c r="AC245" s="13">
        <v>2</v>
      </c>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3">
        <f t="shared" si="5"/>
        <v>2</v>
      </c>
      <c r="BI245" s="14">
        <f>BH245*4000.01</f>
        <v>8000.02</v>
      </c>
    </row>
    <row r="246" spans="1:61" ht="76.5" x14ac:dyDescent="0.25">
      <c r="A246" s="10">
        <v>241</v>
      </c>
      <c r="B246" s="11" t="s">
        <v>791</v>
      </c>
      <c r="C246" s="10" t="s">
        <v>791</v>
      </c>
      <c r="D246" s="11" t="s">
        <v>792</v>
      </c>
      <c r="E246" s="10" t="s">
        <v>793</v>
      </c>
      <c r="F246" s="10" t="s">
        <v>67</v>
      </c>
      <c r="G246" s="12"/>
      <c r="H246" s="12"/>
      <c r="I246" s="12"/>
      <c r="J246" s="12"/>
      <c r="K246" s="12"/>
      <c r="L246" s="12"/>
      <c r="M246" s="12"/>
      <c r="N246" s="12"/>
      <c r="O246" s="12"/>
      <c r="P246" s="12"/>
      <c r="Q246" s="12"/>
      <c r="R246" s="12"/>
      <c r="S246" s="12"/>
      <c r="T246" s="12"/>
      <c r="U246" s="12"/>
      <c r="V246" s="12"/>
      <c r="W246" s="12"/>
      <c r="X246" s="12"/>
      <c r="Y246" s="12"/>
      <c r="Z246" s="12"/>
      <c r="AA246" s="12"/>
      <c r="AB246" s="12"/>
      <c r="AC246" s="13">
        <v>2</v>
      </c>
      <c r="AD246" s="12"/>
      <c r="AE246" s="12"/>
      <c r="AF246" s="12"/>
      <c r="AG246" s="12"/>
      <c r="AH246" s="12"/>
      <c r="AI246" s="12"/>
      <c r="AJ246" s="12"/>
      <c r="AK246" s="12"/>
      <c r="AL246" s="12"/>
      <c r="AM246" s="12"/>
      <c r="AN246" s="12"/>
      <c r="AO246" s="12"/>
      <c r="AP246" s="12"/>
      <c r="AQ246" s="12"/>
      <c r="AR246" s="13">
        <v>2</v>
      </c>
      <c r="AS246" s="12"/>
      <c r="AT246" s="12"/>
      <c r="AU246" s="12"/>
      <c r="AV246" s="12"/>
      <c r="AW246" s="12"/>
      <c r="AX246" s="12"/>
      <c r="AY246" s="12"/>
      <c r="AZ246" s="12"/>
      <c r="BA246" s="12"/>
      <c r="BB246" s="12"/>
      <c r="BC246" s="12"/>
      <c r="BD246" s="12"/>
      <c r="BE246" s="12"/>
      <c r="BF246" s="12"/>
      <c r="BG246" s="12"/>
      <c r="BH246" s="13">
        <f t="shared" si="5"/>
        <v>4</v>
      </c>
      <c r="BI246" s="14">
        <f>BH246*3000</f>
        <v>12000</v>
      </c>
    </row>
    <row r="247" spans="1:61" ht="63.75" x14ac:dyDescent="0.25">
      <c r="A247" s="10">
        <v>242</v>
      </c>
      <c r="B247" s="11" t="s">
        <v>794</v>
      </c>
      <c r="C247" s="10" t="s">
        <v>794</v>
      </c>
      <c r="D247" s="11" t="s">
        <v>795</v>
      </c>
      <c r="E247" s="10" t="s">
        <v>796</v>
      </c>
      <c r="F247" s="10" t="s">
        <v>67</v>
      </c>
      <c r="G247" s="12"/>
      <c r="H247" s="12"/>
      <c r="I247" s="12"/>
      <c r="J247" s="12"/>
      <c r="K247" s="12"/>
      <c r="L247" s="12"/>
      <c r="M247" s="12"/>
      <c r="N247" s="12"/>
      <c r="O247" s="12"/>
      <c r="P247" s="12"/>
      <c r="Q247" s="12"/>
      <c r="R247" s="12"/>
      <c r="S247" s="12"/>
      <c r="T247" s="12"/>
      <c r="U247" s="12"/>
      <c r="V247" s="12"/>
      <c r="W247" s="12"/>
      <c r="X247" s="12"/>
      <c r="Y247" s="13">
        <v>1</v>
      </c>
      <c r="Z247" s="12"/>
      <c r="AA247" s="12"/>
      <c r="AB247" s="12"/>
      <c r="AC247" s="13">
        <v>2</v>
      </c>
      <c r="AD247" s="12"/>
      <c r="AE247" s="12"/>
      <c r="AF247" s="12"/>
      <c r="AG247" s="12"/>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c r="BD247" s="12"/>
      <c r="BE247" s="12"/>
      <c r="BF247" s="12"/>
      <c r="BG247" s="12"/>
      <c r="BH247" s="13">
        <f t="shared" si="5"/>
        <v>3</v>
      </c>
      <c r="BI247" s="14">
        <f>BH247*1700.92666666667</f>
        <v>5102.7800000000097</v>
      </c>
    </row>
    <row r="248" spans="1:61" ht="89.25" x14ac:dyDescent="0.25">
      <c r="A248" s="10">
        <v>243</v>
      </c>
      <c r="B248" s="11" t="s">
        <v>797</v>
      </c>
      <c r="C248" s="10" t="s">
        <v>797</v>
      </c>
      <c r="D248" s="10" t="s">
        <v>798</v>
      </c>
      <c r="E248" s="10" t="s">
        <v>799</v>
      </c>
      <c r="F248" s="10" t="s">
        <v>67</v>
      </c>
      <c r="G248" s="12"/>
      <c r="H248" s="12"/>
      <c r="I248" s="12"/>
      <c r="J248" s="12"/>
      <c r="K248" s="12"/>
      <c r="L248" s="12"/>
      <c r="M248" s="12"/>
      <c r="N248" s="12"/>
      <c r="O248" s="12"/>
      <c r="P248" s="12"/>
      <c r="Q248" s="12"/>
      <c r="R248" s="12"/>
      <c r="S248" s="12"/>
      <c r="T248" s="12"/>
      <c r="U248" s="12"/>
      <c r="V248" s="12"/>
      <c r="W248" s="12"/>
      <c r="X248" s="12"/>
      <c r="Y248" s="12"/>
      <c r="Z248" s="12"/>
      <c r="AA248" s="12"/>
      <c r="AB248" s="12"/>
      <c r="AC248" s="13">
        <v>2</v>
      </c>
      <c r="AD248" s="12"/>
      <c r="AE248" s="12"/>
      <c r="AF248" s="12"/>
      <c r="AG248" s="12"/>
      <c r="AH248" s="12"/>
      <c r="AI248" s="12"/>
      <c r="AJ248" s="12"/>
      <c r="AK248" s="12"/>
      <c r="AL248" s="12"/>
      <c r="AM248" s="12"/>
      <c r="AN248" s="12"/>
      <c r="AO248" s="12"/>
      <c r="AP248" s="12"/>
      <c r="AQ248" s="12"/>
      <c r="AR248" s="12"/>
      <c r="AS248" s="12"/>
      <c r="AT248" s="13">
        <v>1</v>
      </c>
      <c r="AU248" s="12"/>
      <c r="AV248" s="12"/>
      <c r="AW248" s="12"/>
      <c r="AX248" s="12"/>
      <c r="AY248" s="12"/>
      <c r="AZ248" s="12"/>
      <c r="BA248" s="12"/>
      <c r="BB248" s="12"/>
      <c r="BC248" s="12"/>
      <c r="BD248" s="12"/>
      <c r="BE248" s="12"/>
      <c r="BF248" s="12"/>
      <c r="BG248" s="12"/>
      <c r="BH248" s="13">
        <f t="shared" si="5"/>
        <v>3</v>
      </c>
      <c r="BI248" s="14">
        <f>BH248*6000</f>
        <v>18000</v>
      </c>
    </row>
    <row r="249" spans="1:61" ht="38.25" x14ac:dyDescent="0.25">
      <c r="A249" s="10">
        <v>244</v>
      </c>
      <c r="B249" s="11" t="s">
        <v>800</v>
      </c>
      <c r="C249" s="10" t="s">
        <v>800</v>
      </c>
      <c r="D249" s="11" t="s">
        <v>801</v>
      </c>
      <c r="E249" s="10" t="s">
        <v>802</v>
      </c>
      <c r="F249" s="10" t="s">
        <v>67</v>
      </c>
      <c r="G249" s="12"/>
      <c r="H249" s="12"/>
      <c r="I249" s="12"/>
      <c r="J249" s="12"/>
      <c r="K249" s="12"/>
      <c r="L249" s="12"/>
      <c r="M249" s="12"/>
      <c r="N249" s="12"/>
      <c r="O249" s="12"/>
      <c r="P249" s="12"/>
      <c r="Q249" s="12"/>
      <c r="R249" s="12"/>
      <c r="S249" s="12"/>
      <c r="T249" s="12"/>
      <c r="U249" s="12"/>
      <c r="V249" s="12"/>
      <c r="W249" s="12"/>
      <c r="X249" s="12"/>
      <c r="Y249" s="12"/>
      <c r="Z249" s="13">
        <v>92</v>
      </c>
      <c r="AA249" s="12"/>
      <c r="AB249" s="12"/>
      <c r="AC249" s="13">
        <v>10</v>
      </c>
      <c r="AD249" s="12"/>
      <c r="AE249" s="12"/>
      <c r="AF249" s="12"/>
      <c r="AG249" s="12"/>
      <c r="AH249" s="12"/>
      <c r="AI249" s="13">
        <v>8</v>
      </c>
      <c r="AJ249" s="12"/>
      <c r="AK249" s="12"/>
      <c r="AL249" s="12"/>
      <c r="AM249" s="13">
        <v>6</v>
      </c>
      <c r="AN249" s="12"/>
      <c r="AO249" s="13">
        <v>20</v>
      </c>
      <c r="AP249" s="13">
        <v>5</v>
      </c>
      <c r="AQ249" s="12"/>
      <c r="AR249" s="12"/>
      <c r="AS249" s="12"/>
      <c r="AT249" s="12"/>
      <c r="AU249" s="13">
        <v>15</v>
      </c>
      <c r="AV249" s="12"/>
      <c r="AW249" s="12"/>
      <c r="AX249" s="12"/>
      <c r="AY249" s="12"/>
      <c r="AZ249" s="12"/>
      <c r="BA249" s="12"/>
      <c r="BB249" s="12"/>
      <c r="BC249" s="13">
        <v>5</v>
      </c>
      <c r="BD249" s="12"/>
      <c r="BE249" s="12"/>
      <c r="BF249" s="12"/>
      <c r="BG249" s="12"/>
      <c r="BH249" s="13">
        <f t="shared" si="5"/>
        <v>161</v>
      </c>
      <c r="BI249" s="14">
        <f>BH249*100.00801242236</f>
        <v>16101.289999999959</v>
      </c>
    </row>
    <row r="250" spans="1:61" ht="63.75" x14ac:dyDescent="0.25">
      <c r="A250" s="10">
        <v>245</v>
      </c>
      <c r="B250" s="11" t="s">
        <v>803</v>
      </c>
      <c r="C250" s="10" t="s">
        <v>803</v>
      </c>
      <c r="D250" s="10" t="s">
        <v>804</v>
      </c>
      <c r="E250" s="10" t="s">
        <v>805</v>
      </c>
      <c r="F250" s="10" t="s">
        <v>67</v>
      </c>
      <c r="G250" s="12"/>
      <c r="H250" s="12"/>
      <c r="I250" s="12"/>
      <c r="J250" s="12"/>
      <c r="K250" s="12"/>
      <c r="L250" s="12"/>
      <c r="M250" s="12"/>
      <c r="N250" s="12"/>
      <c r="O250" s="12"/>
      <c r="P250" s="12"/>
      <c r="Q250" s="12"/>
      <c r="R250" s="12"/>
      <c r="S250" s="12"/>
      <c r="T250" s="12"/>
      <c r="U250" s="12"/>
      <c r="V250" s="12"/>
      <c r="W250" s="12"/>
      <c r="X250" s="12"/>
      <c r="Y250" s="13">
        <v>1</v>
      </c>
      <c r="Z250" s="13">
        <v>32</v>
      </c>
      <c r="AA250" s="12"/>
      <c r="AB250" s="12"/>
      <c r="AC250" s="13">
        <v>10</v>
      </c>
      <c r="AD250" s="12"/>
      <c r="AE250" s="12"/>
      <c r="AF250" s="12"/>
      <c r="AG250" s="12"/>
      <c r="AH250" s="13">
        <v>7</v>
      </c>
      <c r="AI250" s="12"/>
      <c r="AJ250" s="12"/>
      <c r="AK250" s="12"/>
      <c r="AL250" s="12"/>
      <c r="AM250" s="12"/>
      <c r="AN250" s="12"/>
      <c r="AO250" s="12"/>
      <c r="AP250" s="12"/>
      <c r="AQ250" s="12"/>
      <c r="AR250" s="13">
        <v>2</v>
      </c>
      <c r="AS250" s="12"/>
      <c r="AT250" s="12"/>
      <c r="AU250" s="12"/>
      <c r="AV250" s="12"/>
      <c r="AW250" s="12"/>
      <c r="AX250" s="12"/>
      <c r="AY250" s="12"/>
      <c r="AZ250" s="12"/>
      <c r="BA250" s="12"/>
      <c r="BB250" s="12"/>
      <c r="BC250" s="12"/>
      <c r="BD250" s="13">
        <v>2</v>
      </c>
      <c r="BE250" s="12"/>
      <c r="BF250" s="12"/>
      <c r="BG250" s="12"/>
      <c r="BH250" s="13">
        <f t="shared" si="5"/>
        <v>54</v>
      </c>
      <c r="BI250" s="14">
        <f>BH250*1257.80407407407</f>
        <v>67921.41999999978</v>
      </c>
    </row>
    <row r="251" spans="1:61" ht="38.25" x14ac:dyDescent="0.25">
      <c r="A251" s="10">
        <v>246</v>
      </c>
      <c r="B251" s="11" t="s">
        <v>806</v>
      </c>
      <c r="C251" s="10" t="s">
        <v>807</v>
      </c>
      <c r="D251" s="11" t="s">
        <v>808</v>
      </c>
      <c r="E251" s="10" t="s">
        <v>809</v>
      </c>
      <c r="F251" s="10" t="s">
        <v>67</v>
      </c>
      <c r="G251" s="12"/>
      <c r="H251" s="12"/>
      <c r="I251" s="12"/>
      <c r="J251" s="12"/>
      <c r="K251" s="13">
        <v>4</v>
      </c>
      <c r="L251" s="12"/>
      <c r="M251" s="12"/>
      <c r="N251" s="12"/>
      <c r="O251" s="12"/>
      <c r="P251" s="12"/>
      <c r="Q251" s="12"/>
      <c r="R251" s="12"/>
      <c r="S251" s="12"/>
      <c r="T251" s="12"/>
      <c r="U251" s="12"/>
      <c r="V251" s="12"/>
      <c r="W251" s="12"/>
      <c r="X251" s="12"/>
      <c r="Y251" s="12"/>
      <c r="Z251" s="12"/>
      <c r="AA251" s="12"/>
      <c r="AB251" s="12"/>
      <c r="AC251" s="13">
        <v>35</v>
      </c>
      <c r="AD251" s="12"/>
      <c r="AE251" s="12"/>
      <c r="AF251" s="12"/>
      <c r="AG251" s="12"/>
      <c r="AH251" s="12"/>
      <c r="AI251" s="12"/>
      <c r="AJ251" s="12"/>
      <c r="AK251" s="13">
        <v>4</v>
      </c>
      <c r="AL251" s="12"/>
      <c r="AM251" s="12"/>
      <c r="AN251" s="12"/>
      <c r="AO251" s="13">
        <v>10</v>
      </c>
      <c r="AP251" s="12"/>
      <c r="AQ251" s="12"/>
      <c r="AR251" s="13">
        <v>20</v>
      </c>
      <c r="AS251" s="13">
        <v>1</v>
      </c>
      <c r="AT251" s="12"/>
      <c r="AU251" s="12"/>
      <c r="AV251" s="12"/>
      <c r="AW251" s="12"/>
      <c r="AX251" s="12"/>
      <c r="AY251" s="12"/>
      <c r="AZ251" s="12"/>
      <c r="BA251" s="12"/>
      <c r="BB251" s="12"/>
      <c r="BC251" s="12"/>
      <c r="BD251" s="12"/>
      <c r="BE251" s="12"/>
      <c r="BF251" s="12"/>
      <c r="BG251" s="12"/>
      <c r="BH251" s="13">
        <f t="shared" si="5"/>
        <v>74</v>
      </c>
      <c r="BI251" s="14">
        <f>BH251*192</f>
        <v>14208</v>
      </c>
    </row>
    <row r="252" spans="1:61" ht="38.25" x14ac:dyDescent="0.25">
      <c r="A252" s="10">
        <v>247</v>
      </c>
      <c r="B252" s="11" t="s">
        <v>810</v>
      </c>
      <c r="C252" s="10" t="s">
        <v>811</v>
      </c>
      <c r="D252" s="11" t="s">
        <v>812</v>
      </c>
      <c r="E252" s="10" t="s">
        <v>813</v>
      </c>
      <c r="F252" s="10" t="s">
        <v>67</v>
      </c>
      <c r="G252" s="12"/>
      <c r="H252" s="12"/>
      <c r="I252" s="12"/>
      <c r="J252" s="12"/>
      <c r="K252" s="12"/>
      <c r="L252" s="12"/>
      <c r="M252" s="12"/>
      <c r="N252" s="12"/>
      <c r="O252" s="12"/>
      <c r="P252" s="12"/>
      <c r="Q252" s="12"/>
      <c r="R252" s="12"/>
      <c r="S252" s="12"/>
      <c r="T252" s="12"/>
      <c r="U252" s="12"/>
      <c r="V252" s="12"/>
      <c r="W252" s="12"/>
      <c r="X252" s="12"/>
      <c r="Y252" s="13">
        <v>1</v>
      </c>
      <c r="Z252" s="12"/>
      <c r="AA252" s="12"/>
      <c r="AB252" s="12"/>
      <c r="AC252" s="12"/>
      <c r="AD252" s="12"/>
      <c r="AE252" s="12"/>
      <c r="AF252" s="13">
        <v>5</v>
      </c>
      <c r="AG252" s="13">
        <v>10</v>
      </c>
      <c r="AH252" s="12"/>
      <c r="AI252" s="12"/>
      <c r="AJ252" s="12"/>
      <c r="AK252" s="13">
        <v>2</v>
      </c>
      <c r="AL252" s="12"/>
      <c r="AM252" s="12"/>
      <c r="AN252" s="12"/>
      <c r="AO252" s="12"/>
      <c r="AP252" s="12"/>
      <c r="AQ252" s="12"/>
      <c r="AR252" s="12"/>
      <c r="AS252" s="13">
        <v>1</v>
      </c>
      <c r="AT252" s="12"/>
      <c r="AU252" s="12"/>
      <c r="AV252" s="12"/>
      <c r="AW252" s="12"/>
      <c r="AX252" s="12"/>
      <c r="AY252" s="12"/>
      <c r="AZ252" s="12"/>
      <c r="BA252" s="12"/>
      <c r="BB252" s="12"/>
      <c r="BC252" s="12"/>
      <c r="BD252" s="13">
        <v>25</v>
      </c>
      <c r="BE252" s="12"/>
      <c r="BF252" s="12"/>
      <c r="BG252" s="12"/>
      <c r="BH252" s="13">
        <f t="shared" si="5"/>
        <v>44</v>
      </c>
      <c r="BI252" s="14">
        <f>BH252*288</f>
        <v>12672</v>
      </c>
    </row>
    <row r="253" spans="1:61" ht="38.25" x14ac:dyDescent="0.25">
      <c r="A253" s="10">
        <v>248</v>
      </c>
      <c r="B253" s="11" t="s">
        <v>814</v>
      </c>
      <c r="C253" s="10" t="s">
        <v>815</v>
      </c>
      <c r="D253" s="11" t="s">
        <v>816</v>
      </c>
      <c r="E253" s="10" t="s">
        <v>817</v>
      </c>
      <c r="F253" s="10" t="s">
        <v>67</v>
      </c>
      <c r="G253" s="12"/>
      <c r="H253" s="12"/>
      <c r="I253" s="12"/>
      <c r="J253" s="12"/>
      <c r="K253" s="12"/>
      <c r="L253" s="12"/>
      <c r="M253" s="12"/>
      <c r="N253" s="12"/>
      <c r="O253" s="12"/>
      <c r="P253" s="12"/>
      <c r="Q253" s="12"/>
      <c r="R253" s="12"/>
      <c r="S253" s="12"/>
      <c r="T253" s="12"/>
      <c r="U253" s="12"/>
      <c r="V253" s="12"/>
      <c r="W253" s="12"/>
      <c r="X253" s="12"/>
      <c r="Y253" s="13">
        <v>1</v>
      </c>
      <c r="Z253" s="12"/>
      <c r="AA253" s="12"/>
      <c r="AB253" s="12"/>
      <c r="AC253" s="13">
        <v>20</v>
      </c>
      <c r="AD253" s="12"/>
      <c r="AE253" s="12"/>
      <c r="AF253" s="12"/>
      <c r="AG253" s="13">
        <v>10</v>
      </c>
      <c r="AH253" s="12"/>
      <c r="AI253" s="13">
        <v>3</v>
      </c>
      <c r="AJ253" s="12"/>
      <c r="AK253" s="12"/>
      <c r="AL253" s="13">
        <v>2</v>
      </c>
      <c r="AM253" s="12"/>
      <c r="AN253" s="12"/>
      <c r="AO253" s="12"/>
      <c r="AP253" s="13">
        <v>2</v>
      </c>
      <c r="AQ253" s="12"/>
      <c r="AR253" s="13">
        <v>10</v>
      </c>
      <c r="AS253" s="12"/>
      <c r="AT253" s="12"/>
      <c r="AU253" s="12"/>
      <c r="AV253" s="12"/>
      <c r="AW253" s="12"/>
      <c r="AX253" s="12"/>
      <c r="AY253" s="12"/>
      <c r="AZ253" s="12"/>
      <c r="BA253" s="12"/>
      <c r="BB253" s="12"/>
      <c r="BC253" s="12"/>
      <c r="BD253" s="12"/>
      <c r="BE253" s="12"/>
      <c r="BF253" s="12"/>
      <c r="BG253" s="12"/>
      <c r="BH253" s="13">
        <f t="shared" si="5"/>
        <v>48</v>
      </c>
      <c r="BI253" s="14">
        <f>336*BH253</f>
        <v>16128</v>
      </c>
    </row>
    <row r="254" spans="1:61" ht="38.25" x14ac:dyDescent="0.25">
      <c r="A254" s="10">
        <v>249</v>
      </c>
      <c r="B254" s="11" t="s">
        <v>818</v>
      </c>
      <c r="C254" s="10" t="s">
        <v>819</v>
      </c>
      <c r="D254" s="11" t="s">
        <v>820</v>
      </c>
      <c r="E254" s="10" t="s">
        <v>821</v>
      </c>
      <c r="F254" s="10" t="s">
        <v>67</v>
      </c>
      <c r="G254" s="12"/>
      <c r="H254" s="12"/>
      <c r="I254" s="12"/>
      <c r="J254" s="12"/>
      <c r="K254" s="12"/>
      <c r="L254" s="12"/>
      <c r="M254" s="12"/>
      <c r="N254" s="12"/>
      <c r="O254" s="12"/>
      <c r="P254" s="12"/>
      <c r="Q254" s="12"/>
      <c r="R254" s="12"/>
      <c r="S254" s="12"/>
      <c r="T254" s="12"/>
      <c r="U254" s="12"/>
      <c r="V254" s="12"/>
      <c r="W254" s="12"/>
      <c r="X254" s="12"/>
      <c r="Y254" s="13">
        <v>1</v>
      </c>
      <c r="Z254" s="12"/>
      <c r="AA254" s="12"/>
      <c r="AB254" s="12"/>
      <c r="AC254" s="13">
        <v>20</v>
      </c>
      <c r="AD254" s="12"/>
      <c r="AE254" s="12"/>
      <c r="AF254" s="12"/>
      <c r="AG254" s="12"/>
      <c r="AH254" s="12"/>
      <c r="AI254" s="13">
        <v>3</v>
      </c>
      <c r="AJ254" s="12"/>
      <c r="AK254" s="12"/>
      <c r="AL254" s="13">
        <v>3</v>
      </c>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3">
        <f t="shared" si="5"/>
        <v>27</v>
      </c>
      <c r="BI254" s="14">
        <f>BH254*384</f>
        <v>10368</v>
      </c>
    </row>
    <row r="255" spans="1:61" ht="51" x14ac:dyDescent="0.25">
      <c r="A255" s="10">
        <v>250</v>
      </c>
      <c r="B255" s="11" t="s">
        <v>822</v>
      </c>
      <c r="C255" s="10" t="s">
        <v>822</v>
      </c>
      <c r="D255" s="11" t="s">
        <v>823</v>
      </c>
      <c r="E255" s="10" t="s">
        <v>824</v>
      </c>
      <c r="F255" s="10" t="s">
        <v>67</v>
      </c>
      <c r="G255" s="12"/>
      <c r="H255" s="12"/>
      <c r="I255" s="12"/>
      <c r="J255" s="12"/>
      <c r="K255" s="12"/>
      <c r="L255" s="12"/>
      <c r="M255" s="12"/>
      <c r="N255" s="12"/>
      <c r="O255" s="12"/>
      <c r="P255" s="12"/>
      <c r="Q255" s="12"/>
      <c r="R255" s="12"/>
      <c r="S255" s="12"/>
      <c r="T255" s="12"/>
      <c r="U255" s="12"/>
      <c r="V255" s="12"/>
      <c r="W255" s="12"/>
      <c r="X255" s="12"/>
      <c r="Y255" s="13">
        <v>1</v>
      </c>
      <c r="Z255" s="13">
        <v>30</v>
      </c>
      <c r="AA255" s="12"/>
      <c r="AB255" s="12"/>
      <c r="AC255" s="13">
        <v>10</v>
      </c>
      <c r="AD255" s="13">
        <v>20</v>
      </c>
      <c r="AE255" s="12"/>
      <c r="AF255" s="12"/>
      <c r="AG255" s="12"/>
      <c r="AH255" s="13">
        <v>60</v>
      </c>
      <c r="AI255" s="12"/>
      <c r="AJ255" s="12"/>
      <c r="AK255" s="12"/>
      <c r="AL255" s="12"/>
      <c r="AM255" s="12"/>
      <c r="AN255" s="12"/>
      <c r="AO255" s="12"/>
      <c r="AP255" s="12"/>
      <c r="AQ255" s="12"/>
      <c r="AR255" s="13">
        <v>10</v>
      </c>
      <c r="AS255" s="13">
        <v>1</v>
      </c>
      <c r="AT255" s="12"/>
      <c r="AU255" s="12"/>
      <c r="AV255" s="12"/>
      <c r="AW255" s="12"/>
      <c r="AX255" s="12"/>
      <c r="AY255" s="12"/>
      <c r="AZ255" s="12"/>
      <c r="BA255" s="12"/>
      <c r="BB255" s="12"/>
      <c r="BC255" s="13">
        <v>4</v>
      </c>
      <c r="BD255" s="12"/>
      <c r="BE255" s="12"/>
      <c r="BF255" s="12"/>
      <c r="BG255" s="12"/>
      <c r="BH255" s="13">
        <f t="shared" si="5"/>
        <v>136</v>
      </c>
      <c r="BI255" s="14">
        <f>BH255*319.008014705882</f>
        <v>43385.089999999946</v>
      </c>
    </row>
    <row r="256" spans="1:61" ht="51" x14ac:dyDescent="0.25">
      <c r="A256" s="10">
        <v>251</v>
      </c>
      <c r="B256" s="11" t="s">
        <v>825</v>
      </c>
      <c r="C256" s="10" t="s">
        <v>825</v>
      </c>
      <c r="D256" s="11" t="s">
        <v>826</v>
      </c>
      <c r="E256" s="10" t="s">
        <v>827</v>
      </c>
      <c r="F256" s="10" t="s">
        <v>67</v>
      </c>
      <c r="G256" s="12"/>
      <c r="H256" s="12"/>
      <c r="I256" s="12"/>
      <c r="J256" s="12"/>
      <c r="K256" s="12"/>
      <c r="L256" s="12"/>
      <c r="M256" s="12"/>
      <c r="N256" s="12"/>
      <c r="O256" s="12"/>
      <c r="P256" s="12"/>
      <c r="Q256" s="12"/>
      <c r="R256" s="12"/>
      <c r="S256" s="12"/>
      <c r="T256" s="12"/>
      <c r="U256" s="12"/>
      <c r="V256" s="12"/>
      <c r="W256" s="12"/>
      <c r="X256" s="12"/>
      <c r="Y256" s="13">
        <v>1</v>
      </c>
      <c r="Z256" s="13">
        <v>30</v>
      </c>
      <c r="AA256" s="12"/>
      <c r="AB256" s="12"/>
      <c r="AC256" s="13">
        <v>10</v>
      </c>
      <c r="AD256" s="12"/>
      <c r="AE256" s="12"/>
      <c r="AF256" s="12"/>
      <c r="AG256" s="12"/>
      <c r="AH256" s="13">
        <v>51</v>
      </c>
      <c r="AI256" s="12"/>
      <c r="AJ256" s="12"/>
      <c r="AK256" s="12"/>
      <c r="AL256" s="13">
        <v>22</v>
      </c>
      <c r="AM256" s="12"/>
      <c r="AN256" s="12"/>
      <c r="AO256" s="12"/>
      <c r="AP256" s="12"/>
      <c r="AQ256" s="12"/>
      <c r="AR256" s="13">
        <v>1</v>
      </c>
      <c r="AS256" s="12"/>
      <c r="AT256" s="12"/>
      <c r="AU256" s="12"/>
      <c r="AV256" s="12"/>
      <c r="AW256" s="12"/>
      <c r="AX256" s="12"/>
      <c r="AY256" s="12"/>
      <c r="AZ256" s="12"/>
      <c r="BA256" s="12"/>
      <c r="BB256" s="12"/>
      <c r="BC256" s="13">
        <v>10</v>
      </c>
      <c r="BD256" s="13">
        <v>7</v>
      </c>
      <c r="BE256" s="13">
        <v>4</v>
      </c>
      <c r="BF256" s="12"/>
      <c r="BG256" s="12"/>
      <c r="BH256" s="13">
        <f t="shared" si="5"/>
        <v>136</v>
      </c>
      <c r="BI256" s="14">
        <f>BH256*305.688014705882</f>
        <v>41573.569999999949</v>
      </c>
    </row>
    <row r="257" spans="1:61" ht="102" x14ac:dyDescent="0.25">
      <c r="A257" s="10">
        <v>252</v>
      </c>
      <c r="B257" s="11" t="s">
        <v>828</v>
      </c>
      <c r="C257" s="10" t="s">
        <v>828</v>
      </c>
      <c r="D257" s="10" t="s">
        <v>829</v>
      </c>
      <c r="E257" s="10" t="s">
        <v>830</v>
      </c>
      <c r="F257" s="10" t="s">
        <v>67</v>
      </c>
      <c r="G257" s="12"/>
      <c r="H257" s="13">
        <v>6</v>
      </c>
      <c r="I257" s="12"/>
      <c r="J257" s="12"/>
      <c r="K257" s="12"/>
      <c r="L257" s="12"/>
      <c r="M257" s="12"/>
      <c r="N257" s="12"/>
      <c r="O257" s="12"/>
      <c r="P257" s="12"/>
      <c r="Q257" s="12"/>
      <c r="R257" s="12"/>
      <c r="S257" s="12"/>
      <c r="T257" s="12"/>
      <c r="U257" s="12"/>
      <c r="V257" s="12"/>
      <c r="W257" s="12"/>
      <c r="X257" s="12"/>
      <c r="Y257" s="13">
        <v>1</v>
      </c>
      <c r="Z257" s="13">
        <v>30</v>
      </c>
      <c r="AA257" s="12"/>
      <c r="AB257" s="12"/>
      <c r="AC257" s="12"/>
      <c r="AD257" s="12"/>
      <c r="AE257" s="12"/>
      <c r="AF257" s="12"/>
      <c r="AG257" s="13">
        <v>10</v>
      </c>
      <c r="AH257" s="13">
        <v>11</v>
      </c>
      <c r="AI257" s="12"/>
      <c r="AJ257" s="12"/>
      <c r="AK257" s="12"/>
      <c r="AL257" s="12"/>
      <c r="AM257" s="12"/>
      <c r="AN257" s="12"/>
      <c r="AO257" s="12"/>
      <c r="AP257" s="12"/>
      <c r="AQ257" s="12"/>
      <c r="AR257" s="13">
        <v>2</v>
      </c>
      <c r="AS257" s="12"/>
      <c r="AT257" s="12"/>
      <c r="AU257" s="12"/>
      <c r="AV257" s="12"/>
      <c r="AW257" s="12"/>
      <c r="AX257" s="12"/>
      <c r="AY257" s="12"/>
      <c r="AZ257" s="12"/>
      <c r="BA257" s="12"/>
      <c r="BB257" s="12"/>
      <c r="BC257" s="12"/>
      <c r="BD257" s="13">
        <v>5</v>
      </c>
      <c r="BE257" s="12"/>
      <c r="BF257" s="12"/>
      <c r="BG257" s="12"/>
      <c r="BH257" s="13">
        <f t="shared" si="5"/>
        <v>65</v>
      </c>
      <c r="BI257" s="14">
        <f>BH257*2372.4</f>
        <v>154206</v>
      </c>
    </row>
    <row r="258" spans="1:61" ht="63.75" x14ac:dyDescent="0.25">
      <c r="A258" s="10">
        <v>253</v>
      </c>
      <c r="B258" s="11" t="s">
        <v>831</v>
      </c>
      <c r="C258" s="10" t="s">
        <v>831</v>
      </c>
      <c r="D258" s="10" t="s">
        <v>832</v>
      </c>
      <c r="E258" s="10" t="s">
        <v>833</v>
      </c>
      <c r="F258" s="10" t="s">
        <v>67</v>
      </c>
      <c r="G258" s="12"/>
      <c r="H258" s="12"/>
      <c r="I258" s="12"/>
      <c r="J258" s="12"/>
      <c r="K258" s="12"/>
      <c r="L258" s="12"/>
      <c r="M258" s="12"/>
      <c r="N258" s="12"/>
      <c r="O258" s="12"/>
      <c r="P258" s="12"/>
      <c r="Q258" s="12"/>
      <c r="R258" s="12"/>
      <c r="S258" s="12"/>
      <c r="T258" s="12"/>
      <c r="U258" s="12"/>
      <c r="V258" s="12"/>
      <c r="W258" s="12"/>
      <c r="X258" s="13">
        <v>6</v>
      </c>
      <c r="Y258" s="13">
        <v>1</v>
      </c>
      <c r="Z258" s="13">
        <v>30</v>
      </c>
      <c r="AA258" s="12"/>
      <c r="AB258" s="12"/>
      <c r="AC258" s="12"/>
      <c r="AD258" s="12"/>
      <c r="AE258" s="12"/>
      <c r="AF258" s="12"/>
      <c r="AG258" s="12"/>
      <c r="AH258" s="13">
        <v>27</v>
      </c>
      <c r="AI258" s="12"/>
      <c r="AJ258" s="12"/>
      <c r="AK258" s="12"/>
      <c r="AL258" s="12"/>
      <c r="AM258" s="12"/>
      <c r="AN258" s="12"/>
      <c r="AO258" s="12"/>
      <c r="AP258" s="13">
        <v>1</v>
      </c>
      <c r="AQ258" s="12"/>
      <c r="AR258" s="12"/>
      <c r="AS258" s="12"/>
      <c r="AT258" s="12"/>
      <c r="AU258" s="12"/>
      <c r="AV258" s="12"/>
      <c r="AW258" s="12"/>
      <c r="AX258" s="12"/>
      <c r="AY258" s="12"/>
      <c r="AZ258" s="12"/>
      <c r="BA258" s="12"/>
      <c r="BB258" s="12"/>
      <c r="BC258" s="12"/>
      <c r="BD258" s="12"/>
      <c r="BE258" s="12"/>
      <c r="BF258" s="12"/>
      <c r="BG258" s="12"/>
      <c r="BH258" s="13">
        <f t="shared" si="5"/>
        <v>65</v>
      </c>
      <c r="BI258" s="14">
        <f>BH258*2372.4</f>
        <v>154206</v>
      </c>
    </row>
    <row r="259" spans="1:61" ht="51" x14ac:dyDescent="0.25">
      <c r="A259" s="10">
        <v>254</v>
      </c>
      <c r="B259" s="11" t="s">
        <v>834</v>
      </c>
      <c r="C259" s="10" t="s">
        <v>834</v>
      </c>
      <c r="D259" s="11" t="s">
        <v>835</v>
      </c>
      <c r="E259" s="10" t="s">
        <v>836</v>
      </c>
      <c r="F259" s="10" t="s">
        <v>67</v>
      </c>
      <c r="G259" s="12"/>
      <c r="H259" s="12"/>
      <c r="I259" s="12"/>
      <c r="J259" s="12"/>
      <c r="K259" s="12"/>
      <c r="L259" s="12"/>
      <c r="M259" s="12"/>
      <c r="N259" s="12"/>
      <c r="O259" s="12"/>
      <c r="P259" s="12"/>
      <c r="Q259" s="12"/>
      <c r="R259" s="12"/>
      <c r="S259" s="12"/>
      <c r="T259" s="12"/>
      <c r="U259" s="12"/>
      <c r="V259" s="12"/>
      <c r="W259" s="12"/>
      <c r="X259" s="12"/>
      <c r="Y259" s="13">
        <v>1</v>
      </c>
      <c r="Z259" s="13">
        <v>30</v>
      </c>
      <c r="AA259" s="12"/>
      <c r="AB259" s="12"/>
      <c r="AC259" s="12"/>
      <c r="AD259" s="12"/>
      <c r="AE259" s="12"/>
      <c r="AF259" s="12"/>
      <c r="AG259" s="12"/>
      <c r="AH259" s="13">
        <v>6</v>
      </c>
      <c r="AI259" s="12"/>
      <c r="AJ259" s="12"/>
      <c r="AK259" s="12"/>
      <c r="AL259" s="12"/>
      <c r="AM259" s="12"/>
      <c r="AN259" s="12"/>
      <c r="AO259" s="12"/>
      <c r="AP259" s="13">
        <v>1</v>
      </c>
      <c r="AQ259" s="12"/>
      <c r="AR259" s="12"/>
      <c r="AS259" s="12"/>
      <c r="AT259" s="12"/>
      <c r="AU259" s="12"/>
      <c r="AV259" s="12"/>
      <c r="AW259" s="12"/>
      <c r="AX259" s="12"/>
      <c r="AY259" s="12"/>
      <c r="AZ259" s="12"/>
      <c r="BA259" s="12"/>
      <c r="BB259" s="12"/>
      <c r="BC259" s="12"/>
      <c r="BD259" s="12"/>
      <c r="BE259" s="12"/>
      <c r="BF259" s="12"/>
      <c r="BG259" s="12"/>
      <c r="BH259" s="13">
        <f t="shared" si="5"/>
        <v>38</v>
      </c>
      <c r="BI259" s="14">
        <f>BH259*2372.4</f>
        <v>90151.2</v>
      </c>
    </row>
    <row r="260" spans="1:61" ht="51" x14ac:dyDescent="0.25">
      <c r="A260" s="10">
        <v>255</v>
      </c>
      <c r="B260" s="11" t="s">
        <v>837</v>
      </c>
      <c r="C260" s="10" t="s">
        <v>837</v>
      </c>
      <c r="D260" s="11" t="s">
        <v>838</v>
      </c>
      <c r="E260" s="18" t="s">
        <v>839</v>
      </c>
      <c r="F260" s="10" t="s">
        <v>67</v>
      </c>
      <c r="G260" s="12"/>
      <c r="H260" s="12"/>
      <c r="I260" s="12"/>
      <c r="J260" s="12"/>
      <c r="K260" s="12"/>
      <c r="L260" s="12"/>
      <c r="M260" s="12"/>
      <c r="N260" s="12"/>
      <c r="O260" s="12"/>
      <c r="P260" s="12"/>
      <c r="Q260" s="12"/>
      <c r="R260" s="12"/>
      <c r="S260" s="12"/>
      <c r="T260" s="12"/>
      <c r="U260" s="12"/>
      <c r="V260" s="12"/>
      <c r="W260" s="12"/>
      <c r="X260" s="12"/>
      <c r="Y260" s="12"/>
      <c r="Z260" s="13">
        <v>20</v>
      </c>
      <c r="AA260" s="12"/>
      <c r="AB260" s="12"/>
      <c r="AC260" s="12"/>
      <c r="AD260" s="12"/>
      <c r="AE260" s="12"/>
      <c r="AF260" s="12"/>
      <c r="AG260" s="12"/>
      <c r="AH260" s="13">
        <v>4</v>
      </c>
      <c r="AI260" s="12"/>
      <c r="AJ260" s="12"/>
      <c r="AK260" s="12"/>
      <c r="AL260" s="12"/>
      <c r="AM260" s="12"/>
      <c r="AN260" s="12"/>
      <c r="AO260" s="12"/>
      <c r="AP260" s="13">
        <v>1</v>
      </c>
      <c r="AQ260" s="12"/>
      <c r="AR260" s="12"/>
      <c r="AS260" s="12"/>
      <c r="AT260" s="12"/>
      <c r="AU260" s="12"/>
      <c r="AV260" s="12"/>
      <c r="AW260" s="12"/>
      <c r="AX260" s="12"/>
      <c r="AY260" s="12"/>
      <c r="AZ260" s="12"/>
      <c r="BA260" s="12"/>
      <c r="BB260" s="12"/>
      <c r="BC260" s="12"/>
      <c r="BD260" s="12"/>
      <c r="BE260" s="13">
        <v>4</v>
      </c>
      <c r="BF260" s="12"/>
      <c r="BG260" s="12"/>
      <c r="BH260" s="13">
        <f t="shared" si="5"/>
        <v>29</v>
      </c>
      <c r="BI260" s="14">
        <f>BH260*2372.4</f>
        <v>68799.600000000006</v>
      </c>
    </row>
    <row r="261" spans="1:61" ht="89.25" x14ac:dyDescent="0.25">
      <c r="A261" s="10">
        <v>256</v>
      </c>
      <c r="B261" s="11" t="s">
        <v>840</v>
      </c>
      <c r="C261" s="10" t="s">
        <v>840</v>
      </c>
      <c r="D261" s="10" t="s">
        <v>841</v>
      </c>
      <c r="E261" s="10" t="s">
        <v>842</v>
      </c>
      <c r="F261" s="10" t="s">
        <v>67</v>
      </c>
      <c r="G261" s="12"/>
      <c r="H261" s="12"/>
      <c r="I261" s="12"/>
      <c r="J261" s="12"/>
      <c r="K261" s="13">
        <v>4</v>
      </c>
      <c r="L261" s="12"/>
      <c r="M261" s="12"/>
      <c r="N261" s="12"/>
      <c r="O261" s="12"/>
      <c r="P261" s="12"/>
      <c r="Q261" s="12"/>
      <c r="R261" s="12"/>
      <c r="S261" s="12"/>
      <c r="T261" s="12"/>
      <c r="U261" s="12"/>
      <c r="V261" s="12"/>
      <c r="W261" s="12"/>
      <c r="X261" s="12"/>
      <c r="Y261" s="13">
        <v>1</v>
      </c>
      <c r="Z261" s="12"/>
      <c r="AA261" s="12"/>
      <c r="AB261" s="12"/>
      <c r="AC261" s="13">
        <v>40</v>
      </c>
      <c r="AD261" s="13">
        <v>15</v>
      </c>
      <c r="AE261" s="13">
        <v>2</v>
      </c>
      <c r="AF261" s="12"/>
      <c r="AG261" s="12"/>
      <c r="AH261" s="12"/>
      <c r="AI261" s="13">
        <v>19</v>
      </c>
      <c r="AJ261" s="12"/>
      <c r="AK261" s="12"/>
      <c r="AL261" s="13">
        <v>10</v>
      </c>
      <c r="AM261" s="13">
        <v>4</v>
      </c>
      <c r="AN261" s="12"/>
      <c r="AO261" s="12"/>
      <c r="AP261" s="13">
        <v>5</v>
      </c>
      <c r="AQ261" s="12"/>
      <c r="AR261" s="12"/>
      <c r="AS261" s="12"/>
      <c r="AT261" s="12"/>
      <c r="AU261" s="12"/>
      <c r="AV261" s="12"/>
      <c r="AW261" s="12"/>
      <c r="AX261" s="12"/>
      <c r="AY261" s="12"/>
      <c r="AZ261" s="13">
        <v>5</v>
      </c>
      <c r="BA261" s="13">
        <v>2</v>
      </c>
      <c r="BB261" s="12"/>
      <c r="BC261" s="12"/>
      <c r="BD261" s="12"/>
      <c r="BE261" s="12"/>
      <c r="BF261" s="12"/>
      <c r="BG261" s="12"/>
      <c r="BH261" s="13">
        <f t="shared" si="5"/>
        <v>107</v>
      </c>
      <c r="BI261" s="14">
        <f>BH261*158.4</f>
        <v>16948.8</v>
      </c>
    </row>
    <row r="262" spans="1:61" ht="63.75" x14ac:dyDescent="0.25">
      <c r="A262" s="10">
        <v>257</v>
      </c>
      <c r="B262" s="11" t="s">
        <v>843</v>
      </c>
      <c r="C262" s="10" t="s">
        <v>843</v>
      </c>
      <c r="D262" s="10" t="s">
        <v>844</v>
      </c>
      <c r="E262" s="10" t="s">
        <v>845</v>
      </c>
      <c r="F262" s="10" t="s">
        <v>67</v>
      </c>
      <c r="G262" s="12"/>
      <c r="H262" s="12"/>
      <c r="I262" s="12"/>
      <c r="J262" s="12"/>
      <c r="K262" s="12"/>
      <c r="L262" s="13">
        <v>3</v>
      </c>
      <c r="M262" s="12"/>
      <c r="N262" s="12"/>
      <c r="O262" s="12"/>
      <c r="P262" s="12"/>
      <c r="Q262" s="12"/>
      <c r="R262" s="12"/>
      <c r="S262" s="12"/>
      <c r="T262" s="12"/>
      <c r="U262" s="12"/>
      <c r="V262" s="12"/>
      <c r="W262" s="12"/>
      <c r="X262" s="12"/>
      <c r="Y262" s="13">
        <v>1</v>
      </c>
      <c r="Z262" s="13">
        <v>20</v>
      </c>
      <c r="AA262" s="12"/>
      <c r="AB262" s="12"/>
      <c r="AC262" s="13">
        <v>20</v>
      </c>
      <c r="AD262" s="13">
        <v>13</v>
      </c>
      <c r="AE262" s="12"/>
      <c r="AF262" s="12"/>
      <c r="AG262" s="12"/>
      <c r="AH262" s="13">
        <v>41</v>
      </c>
      <c r="AI262" s="12"/>
      <c r="AJ262" s="12"/>
      <c r="AK262" s="12"/>
      <c r="AL262" s="12"/>
      <c r="AM262" s="13">
        <v>2</v>
      </c>
      <c r="AN262" s="12"/>
      <c r="AO262" s="13">
        <v>15</v>
      </c>
      <c r="AP262" s="13">
        <v>10</v>
      </c>
      <c r="AQ262" s="12"/>
      <c r="AR262" s="12"/>
      <c r="AS262" s="12"/>
      <c r="AT262" s="12"/>
      <c r="AU262" s="12"/>
      <c r="AV262" s="12"/>
      <c r="AW262" s="12"/>
      <c r="AX262" s="12"/>
      <c r="AY262" s="12"/>
      <c r="AZ262" s="12"/>
      <c r="BA262" s="13">
        <v>2</v>
      </c>
      <c r="BB262" s="12"/>
      <c r="BC262" s="12"/>
      <c r="BD262" s="13">
        <v>5</v>
      </c>
      <c r="BE262" s="12"/>
      <c r="BF262" s="12"/>
      <c r="BG262" s="12"/>
      <c r="BH262" s="13">
        <f t="shared" ref="BH262:BH303" si="7">SUM(G262:BG262)</f>
        <v>132</v>
      </c>
      <c r="BI262" s="14">
        <f t="shared" ref="BI262:BI266" si="8">BH262*158.4</f>
        <v>20908.8</v>
      </c>
    </row>
    <row r="263" spans="1:61" ht="63.75" x14ac:dyDescent="0.25">
      <c r="A263" s="10">
        <v>258</v>
      </c>
      <c r="B263" s="11" t="s">
        <v>846</v>
      </c>
      <c r="C263" s="10" t="s">
        <v>846</v>
      </c>
      <c r="D263" s="11" t="s">
        <v>847</v>
      </c>
      <c r="E263" s="10" t="s">
        <v>848</v>
      </c>
      <c r="F263" s="10" t="s">
        <v>67</v>
      </c>
      <c r="G263" s="12"/>
      <c r="H263" s="12"/>
      <c r="I263" s="12"/>
      <c r="J263" s="12"/>
      <c r="K263" s="12"/>
      <c r="L263" s="13">
        <v>3</v>
      </c>
      <c r="M263" s="12"/>
      <c r="N263" s="12"/>
      <c r="O263" s="13">
        <v>5</v>
      </c>
      <c r="P263" s="12"/>
      <c r="Q263" s="12"/>
      <c r="R263" s="12"/>
      <c r="S263" s="12"/>
      <c r="T263" s="12"/>
      <c r="U263" s="12"/>
      <c r="V263" s="12"/>
      <c r="W263" s="12"/>
      <c r="X263" s="12"/>
      <c r="Y263" s="12"/>
      <c r="Z263" s="13">
        <v>20</v>
      </c>
      <c r="AA263" s="12"/>
      <c r="AB263" s="12"/>
      <c r="AC263" s="13">
        <v>50</v>
      </c>
      <c r="AD263" s="13">
        <v>8</v>
      </c>
      <c r="AE263" s="12"/>
      <c r="AF263" s="12"/>
      <c r="AG263" s="12"/>
      <c r="AH263" s="13">
        <v>4</v>
      </c>
      <c r="AI263" s="13">
        <v>5</v>
      </c>
      <c r="AJ263" s="12"/>
      <c r="AK263" s="12"/>
      <c r="AL263" s="13">
        <v>5</v>
      </c>
      <c r="AM263" s="13">
        <v>2</v>
      </c>
      <c r="AN263" s="12"/>
      <c r="AO263" s="13">
        <v>10</v>
      </c>
      <c r="AP263" s="12"/>
      <c r="AQ263" s="13">
        <v>5</v>
      </c>
      <c r="AR263" s="13">
        <v>10</v>
      </c>
      <c r="AS263" s="12"/>
      <c r="AT263" s="13">
        <v>20</v>
      </c>
      <c r="AU263" s="12"/>
      <c r="AV263" s="12"/>
      <c r="AW263" s="12"/>
      <c r="AX263" s="12"/>
      <c r="AY263" s="12"/>
      <c r="AZ263" s="12"/>
      <c r="BA263" s="13">
        <v>2</v>
      </c>
      <c r="BB263" s="12"/>
      <c r="BC263" s="12"/>
      <c r="BD263" s="13">
        <v>20</v>
      </c>
      <c r="BE263" s="12"/>
      <c r="BF263" s="12"/>
      <c r="BG263" s="12"/>
      <c r="BH263" s="13">
        <f t="shared" si="7"/>
        <v>169</v>
      </c>
      <c r="BI263" s="14">
        <f t="shared" si="8"/>
        <v>26769.600000000002</v>
      </c>
    </row>
    <row r="264" spans="1:61" ht="51" x14ac:dyDescent="0.25">
      <c r="A264" s="10">
        <v>259</v>
      </c>
      <c r="B264" s="11" t="s">
        <v>849</v>
      </c>
      <c r="C264" s="10" t="s">
        <v>849</v>
      </c>
      <c r="D264" s="11" t="s">
        <v>850</v>
      </c>
      <c r="E264" s="10" t="s">
        <v>851</v>
      </c>
      <c r="F264" s="10" t="s">
        <v>67</v>
      </c>
      <c r="G264" s="12"/>
      <c r="H264" s="12"/>
      <c r="I264" s="12"/>
      <c r="J264" s="12"/>
      <c r="K264" s="12"/>
      <c r="L264" s="13">
        <v>25</v>
      </c>
      <c r="M264" s="12"/>
      <c r="N264" s="12"/>
      <c r="O264" s="13">
        <v>5</v>
      </c>
      <c r="P264" s="12"/>
      <c r="Q264" s="12"/>
      <c r="R264" s="12"/>
      <c r="S264" s="13">
        <v>4</v>
      </c>
      <c r="T264" s="12"/>
      <c r="U264" s="12"/>
      <c r="V264" s="12"/>
      <c r="W264" s="12"/>
      <c r="X264" s="12"/>
      <c r="Y264" s="13">
        <v>1</v>
      </c>
      <c r="Z264" s="13">
        <v>10</v>
      </c>
      <c r="AA264" s="12"/>
      <c r="AB264" s="12"/>
      <c r="AC264" s="13">
        <v>100</v>
      </c>
      <c r="AD264" s="13">
        <v>10</v>
      </c>
      <c r="AE264" s="13">
        <v>11</v>
      </c>
      <c r="AF264" s="13">
        <v>7</v>
      </c>
      <c r="AG264" s="12"/>
      <c r="AH264" s="12"/>
      <c r="AI264" s="12"/>
      <c r="AJ264" s="12"/>
      <c r="AK264" s="12"/>
      <c r="AL264" s="13">
        <v>17</v>
      </c>
      <c r="AM264" s="12"/>
      <c r="AN264" s="12"/>
      <c r="AO264" s="12"/>
      <c r="AP264" s="13">
        <v>5</v>
      </c>
      <c r="AQ264" s="13">
        <v>5</v>
      </c>
      <c r="AR264" s="13">
        <v>16</v>
      </c>
      <c r="AS264" s="12"/>
      <c r="AT264" s="12"/>
      <c r="AU264" s="12"/>
      <c r="AV264" s="13">
        <v>10</v>
      </c>
      <c r="AW264" s="12"/>
      <c r="AX264" s="12"/>
      <c r="AY264" s="12"/>
      <c r="AZ264" s="13">
        <v>5</v>
      </c>
      <c r="BA264" s="13">
        <v>2</v>
      </c>
      <c r="BB264" s="13">
        <v>2</v>
      </c>
      <c r="BC264" s="12"/>
      <c r="BD264" s="12"/>
      <c r="BE264" s="12"/>
      <c r="BF264" s="12"/>
      <c r="BG264" s="12"/>
      <c r="BH264" s="13">
        <f t="shared" si="7"/>
        <v>235</v>
      </c>
      <c r="BI264" s="14">
        <f t="shared" si="8"/>
        <v>37224</v>
      </c>
    </row>
    <row r="265" spans="1:61" ht="63.75" x14ac:dyDescent="0.25">
      <c r="A265" s="10">
        <v>260</v>
      </c>
      <c r="B265" s="11" t="s">
        <v>852</v>
      </c>
      <c r="C265" s="10" t="s">
        <v>852</v>
      </c>
      <c r="D265" s="11" t="s">
        <v>853</v>
      </c>
      <c r="E265" s="10" t="s">
        <v>854</v>
      </c>
      <c r="F265" s="10" t="s">
        <v>67</v>
      </c>
      <c r="G265" s="12"/>
      <c r="H265" s="12"/>
      <c r="I265" s="12"/>
      <c r="J265" s="12"/>
      <c r="K265" s="12"/>
      <c r="L265" s="12"/>
      <c r="M265" s="12"/>
      <c r="N265" s="12"/>
      <c r="O265" s="12"/>
      <c r="P265" s="12"/>
      <c r="Q265" s="12"/>
      <c r="R265" s="12"/>
      <c r="S265" s="12"/>
      <c r="T265" s="12"/>
      <c r="U265" s="12"/>
      <c r="V265" s="12"/>
      <c r="W265" s="12"/>
      <c r="X265" s="12"/>
      <c r="Y265" s="12"/>
      <c r="Z265" s="12"/>
      <c r="AA265" s="12"/>
      <c r="AB265" s="12"/>
      <c r="AC265" s="13">
        <v>50</v>
      </c>
      <c r="AD265" s="13">
        <v>5</v>
      </c>
      <c r="AE265" s="13">
        <v>4</v>
      </c>
      <c r="AF265" s="13">
        <v>1</v>
      </c>
      <c r="AG265" s="12"/>
      <c r="AH265" s="12"/>
      <c r="AI265" s="13">
        <v>10</v>
      </c>
      <c r="AJ265" s="12"/>
      <c r="AK265" s="12"/>
      <c r="AL265" s="12"/>
      <c r="AM265" s="13">
        <v>2</v>
      </c>
      <c r="AN265" s="12"/>
      <c r="AO265" s="12"/>
      <c r="AP265" s="13">
        <v>5</v>
      </c>
      <c r="AQ265" s="12"/>
      <c r="AR265" s="12"/>
      <c r="AS265" s="13">
        <v>4</v>
      </c>
      <c r="AT265" s="12"/>
      <c r="AU265" s="12"/>
      <c r="AV265" s="12"/>
      <c r="AW265" s="12"/>
      <c r="AX265" s="12"/>
      <c r="AY265" s="13">
        <v>3</v>
      </c>
      <c r="AZ265" s="13">
        <v>5</v>
      </c>
      <c r="BA265" s="13">
        <v>2</v>
      </c>
      <c r="BB265" s="13">
        <v>1</v>
      </c>
      <c r="BC265" s="12"/>
      <c r="BD265" s="12"/>
      <c r="BE265" s="12"/>
      <c r="BF265" s="12"/>
      <c r="BG265" s="12"/>
      <c r="BH265" s="13">
        <f t="shared" si="7"/>
        <v>92</v>
      </c>
      <c r="BI265" s="14">
        <f t="shared" si="8"/>
        <v>14572.800000000001</v>
      </c>
    </row>
    <row r="266" spans="1:61" ht="63.75" x14ac:dyDescent="0.25">
      <c r="A266" s="10">
        <v>261</v>
      </c>
      <c r="B266" s="11" t="s">
        <v>855</v>
      </c>
      <c r="C266" s="10" t="s">
        <v>855</v>
      </c>
      <c r="D266" s="11" t="s">
        <v>856</v>
      </c>
      <c r="E266" s="10" t="s">
        <v>857</v>
      </c>
      <c r="F266" s="10" t="s">
        <v>67</v>
      </c>
      <c r="G266" s="12"/>
      <c r="H266" s="12"/>
      <c r="I266" s="12"/>
      <c r="J266" s="12"/>
      <c r="K266" s="12"/>
      <c r="L266" s="13">
        <v>10</v>
      </c>
      <c r="M266" s="12"/>
      <c r="N266" s="12"/>
      <c r="O266" s="12"/>
      <c r="P266" s="12"/>
      <c r="Q266" s="12"/>
      <c r="R266" s="12"/>
      <c r="S266" s="12"/>
      <c r="T266" s="12"/>
      <c r="U266" s="12"/>
      <c r="V266" s="12"/>
      <c r="W266" s="12"/>
      <c r="X266" s="12"/>
      <c r="Y266" s="12"/>
      <c r="Z266" s="13">
        <v>10</v>
      </c>
      <c r="AA266" s="12"/>
      <c r="AB266" s="12"/>
      <c r="AC266" s="13">
        <v>10</v>
      </c>
      <c r="AD266" s="13">
        <v>16</v>
      </c>
      <c r="AE266" s="12"/>
      <c r="AF266" s="13">
        <v>1</v>
      </c>
      <c r="AG266" s="12"/>
      <c r="AH266" s="13">
        <v>16</v>
      </c>
      <c r="AI266" s="12"/>
      <c r="AJ266" s="12"/>
      <c r="AK266" s="13">
        <v>4</v>
      </c>
      <c r="AL266" s="13">
        <v>10</v>
      </c>
      <c r="AM266" s="12"/>
      <c r="AN266" s="13">
        <v>2</v>
      </c>
      <c r="AO266" s="13">
        <v>10</v>
      </c>
      <c r="AP266" s="12"/>
      <c r="AQ266" s="12"/>
      <c r="AR266" s="12"/>
      <c r="AS266" s="12"/>
      <c r="AT266" s="12"/>
      <c r="AU266" s="12"/>
      <c r="AV266" s="12"/>
      <c r="AW266" s="12"/>
      <c r="AX266" s="12"/>
      <c r="AY266" s="13">
        <v>3</v>
      </c>
      <c r="AZ266" s="12"/>
      <c r="BA266" s="13">
        <v>2</v>
      </c>
      <c r="BB266" s="12"/>
      <c r="BC266" s="13">
        <v>4</v>
      </c>
      <c r="BD266" s="13">
        <v>10</v>
      </c>
      <c r="BE266" s="12"/>
      <c r="BF266" s="12"/>
      <c r="BG266" s="12"/>
      <c r="BH266" s="13">
        <f t="shared" si="7"/>
        <v>108</v>
      </c>
      <c r="BI266" s="14">
        <f t="shared" si="8"/>
        <v>17107.2</v>
      </c>
    </row>
    <row r="267" spans="1:61" ht="76.5" x14ac:dyDescent="0.25">
      <c r="A267" s="10">
        <v>262</v>
      </c>
      <c r="B267" s="11" t="s">
        <v>858</v>
      </c>
      <c r="C267" s="10" t="s">
        <v>858</v>
      </c>
      <c r="D267" s="10" t="s">
        <v>859</v>
      </c>
      <c r="E267" s="10" t="s">
        <v>860</v>
      </c>
      <c r="F267" s="10" t="s">
        <v>67</v>
      </c>
      <c r="G267" s="12"/>
      <c r="H267" s="12"/>
      <c r="I267" s="12"/>
      <c r="J267" s="12"/>
      <c r="K267" s="13">
        <v>4</v>
      </c>
      <c r="L267" s="13">
        <v>2</v>
      </c>
      <c r="M267" s="12"/>
      <c r="N267" s="12"/>
      <c r="O267" s="12"/>
      <c r="P267" s="12"/>
      <c r="Q267" s="12"/>
      <c r="R267" s="12"/>
      <c r="S267" s="12"/>
      <c r="T267" s="12"/>
      <c r="U267" s="12"/>
      <c r="V267" s="12"/>
      <c r="W267" s="12"/>
      <c r="X267" s="13">
        <v>30</v>
      </c>
      <c r="Y267" s="12"/>
      <c r="Z267" s="12"/>
      <c r="AA267" s="12"/>
      <c r="AB267" s="12"/>
      <c r="AC267" s="13">
        <v>10</v>
      </c>
      <c r="AD267" s="13">
        <v>3</v>
      </c>
      <c r="AE267" s="12"/>
      <c r="AF267" s="12"/>
      <c r="AG267" s="13">
        <v>15</v>
      </c>
      <c r="AH267" s="13">
        <v>2</v>
      </c>
      <c r="AI267" s="13">
        <v>4</v>
      </c>
      <c r="AJ267" s="12"/>
      <c r="AK267" s="12"/>
      <c r="AL267" s="13">
        <v>12</v>
      </c>
      <c r="AM267" s="13">
        <v>2</v>
      </c>
      <c r="AN267" s="12"/>
      <c r="AO267" s="13">
        <v>10</v>
      </c>
      <c r="AP267" s="12"/>
      <c r="AQ267" s="12"/>
      <c r="AR267" s="12"/>
      <c r="AS267" s="13">
        <v>4</v>
      </c>
      <c r="AT267" s="12"/>
      <c r="AU267" s="12"/>
      <c r="AV267" s="12"/>
      <c r="AW267" s="12"/>
      <c r="AX267" s="12"/>
      <c r="AY267" s="12"/>
      <c r="AZ267" s="12"/>
      <c r="BA267" s="13">
        <v>4</v>
      </c>
      <c r="BB267" s="12"/>
      <c r="BC267" s="12"/>
      <c r="BD267" s="12"/>
      <c r="BE267" s="12"/>
      <c r="BF267" s="12"/>
      <c r="BG267" s="12"/>
      <c r="BH267" s="13">
        <f t="shared" si="7"/>
        <v>102</v>
      </c>
      <c r="BI267" s="14">
        <f>BH267*146.88</f>
        <v>14981.76</v>
      </c>
    </row>
    <row r="268" spans="1:61" ht="89.25" x14ac:dyDescent="0.25">
      <c r="A268" s="10">
        <v>263</v>
      </c>
      <c r="B268" s="11" t="s">
        <v>861</v>
      </c>
      <c r="C268" s="10" t="s">
        <v>861</v>
      </c>
      <c r="D268" s="10" t="s">
        <v>862</v>
      </c>
      <c r="E268" s="10" t="s">
        <v>863</v>
      </c>
      <c r="F268" s="10" t="s">
        <v>67</v>
      </c>
      <c r="G268" s="12"/>
      <c r="H268" s="12"/>
      <c r="I268" s="12"/>
      <c r="J268" s="12"/>
      <c r="K268" s="12"/>
      <c r="L268" s="12"/>
      <c r="M268" s="12"/>
      <c r="N268" s="12"/>
      <c r="O268" s="12"/>
      <c r="P268" s="12"/>
      <c r="Q268" s="12"/>
      <c r="R268" s="12"/>
      <c r="S268" s="12"/>
      <c r="T268" s="12"/>
      <c r="U268" s="12"/>
      <c r="V268" s="12"/>
      <c r="W268" s="12"/>
      <c r="X268" s="13">
        <v>2</v>
      </c>
      <c r="Y268" s="12"/>
      <c r="Z268" s="12"/>
      <c r="AA268" s="12"/>
      <c r="AB268" s="12"/>
      <c r="AC268" s="12"/>
      <c r="AD268" s="12"/>
      <c r="AE268" s="12"/>
      <c r="AF268" s="12"/>
      <c r="AG268" s="12"/>
      <c r="AH268" s="13">
        <v>9</v>
      </c>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3">
        <f t="shared" si="7"/>
        <v>11</v>
      </c>
      <c r="BI268" s="14">
        <f>BH268*1020</f>
        <v>11220</v>
      </c>
    </row>
    <row r="269" spans="1:61" ht="76.5" x14ac:dyDescent="0.25">
      <c r="A269" s="10">
        <v>264</v>
      </c>
      <c r="B269" s="11" t="s">
        <v>864</v>
      </c>
      <c r="C269" s="10" t="s">
        <v>864</v>
      </c>
      <c r="D269" s="10" t="s">
        <v>865</v>
      </c>
      <c r="E269" s="10" t="s">
        <v>866</v>
      </c>
      <c r="F269" s="10" t="s">
        <v>67</v>
      </c>
      <c r="G269" s="12"/>
      <c r="H269" s="12"/>
      <c r="I269" s="12"/>
      <c r="J269" s="12"/>
      <c r="K269" s="12"/>
      <c r="L269" s="12"/>
      <c r="M269" s="12"/>
      <c r="N269" s="12"/>
      <c r="O269" s="12"/>
      <c r="P269" s="12"/>
      <c r="Q269" s="12"/>
      <c r="R269" s="12"/>
      <c r="S269" s="12"/>
      <c r="T269" s="12"/>
      <c r="U269" s="12"/>
      <c r="V269" s="12"/>
      <c r="W269" s="12"/>
      <c r="X269" s="12"/>
      <c r="Y269" s="12"/>
      <c r="Z269" s="13">
        <v>16</v>
      </c>
      <c r="AA269" s="12"/>
      <c r="AB269" s="12"/>
      <c r="AC269" s="12"/>
      <c r="AD269" s="12"/>
      <c r="AE269" s="12"/>
      <c r="AF269" s="12"/>
      <c r="AG269" s="12"/>
      <c r="AH269" s="13">
        <v>4</v>
      </c>
      <c r="AI269" s="12"/>
      <c r="AJ269" s="12"/>
      <c r="AK269" s="12"/>
      <c r="AL269" s="12"/>
      <c r="AM269" s="12"/>
      <c r="AN269" s="12"/>
      <c r="AO269" s="12"/>
      <c r="AP269" s="13">
        <v>1</v>
      </c>
      <c r="AQ269" s="12"/>
      <c r="AR269" s="12"/>
      <c r="AS269" s="12"/>
      <c r="AT269" s="12"/>
      <c r="AU269" s="12"/>
      <c r="AV269" s="12"/>
      <c r="AW269" s="12"/>
      <c r="AX269" s="12"/>
      <c r="AY269" s="12"/>
      <c r="AZ269" s="12"/>
      <c r="BA269" s="12"/>
      <c r="BB269" s="12"/>
      <c r="BC269" s="12"/>
      <c r="BD269" s="12"/>
      <c r="BE269" s="12"/>
      <c r="BF269" s="12"/>
      <c r="BG269" s="12"/>
      <c r="BH269" s="13">
        <f t="shared" si="7"/>
        <v>21</v>
      </c>
      <c r="BI269" s="14">
        <f>BH269*1801.2</f>
        <v>37825.200000000004</v>
      </c>
    </row>
    <row r="270" spans="1:61" ht="89.25" x14ac:dyDescent="0.25">
      <c r="A270" s="10">
        <v>265</v>
      </c>
      <c r="B270" s="11" t="s">
        <v>867</v>
      </c>
      <c r="C270" s="10" t="s">
        <v>867</v>
      </c>
      <c r="D270" s="10" t="s">
        <v>868</v>
      </c>
      <c r="E270" s="10" t="s">
        <v>869</v>
      </c>
      <c r="F270" s="10" t="s">
        <v>67</v>
      </c>
      <c r="G270" s="12"/>
      <c r="H270" s="12"/>
      <c r="I270" s="12"/>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3">
        <v>16</v>
      </c>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3">
        <f t="shared" si="7"/>
        <v>16</v>
      </c>
      <c r="BI270" s="14">
        <f>BH270*1801.2</f>
        <v>28819.200000000001</v>
      </c>
    </row>
    <row r="271" spans="1:61" ht="114.75" x14ac:dyDescent="0.25">
      <c r="A271" s="10">
        <v>266</v>
      </c>
      <c r="B271" s="11" t="s">
        <v>870</v>
      </c>
      <c r="C271" s="10" t="s">
        <v>870</v>
      </c>
      <c r="D271" s="10" t="s">
        <v>871</v>
      </c>
      <c r="E271" s="10" t="s">
        <v>872</v>
      </c>
      <c r="F271" s="10" t="s">
        <v>67</v>
      </c>
      <c r="G271" s="12"/>
      <c r="H271" s="12"/>
      <c r="I271" s="12"/>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3">
        <v>10</v>
      </c>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3">
        <f t="shared" si="7"/>
        <v>10</v>
      </c>
      <c r="BI271" s="14">
        <f>BH271*5289.6</f>
        <v>52896</v>
      </c>
    </row>
    <row r="272" spans="1:61" ht="51" x14ac:dyDescent="0.25">
      <c r="A272" s="10">
        <v>267</v>
      </c>
      <c r="B272" s="11" t="s">
        <v>873</v>
      </c>
      <c r="C272" s="10" t="s">
        <v>873</v>
      </c>
      <c r="D272" s="11" t="s">
        <v>874</v>
      </c>
      <c r="E272" s="10" t="s">
        <v>875</v>
      </c>
      <c r="F272" s="10" t="s">
        <v>67</v>
      </c>
      <c r="G272" s="12"/>
      <c r="H272" s="12"/>
      <c r="I272" s="12"/>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3">
        <v>5</v>
      </c>
      <c r="AM272" s="12"/>
      <c r="AN272" s="12"/>
      <c r="AO272" s="12"/>
      <c r="AP272" s="12"/>
      <c r="AQ272" s="12"/>
      <c r="AR272" s="12"/>
      <c r="AS272" s="12"/>
      <c r="AT272" s="12"/>
      <c r="AU272" s="12"/>
      <c r="AV272" s="12"/>
      <c r="AW272" s="12"/>
      <c r="AX272" s="12"/>
      <c r="AY272" s="12"/>
      <c r="AZ272" s="12"/>
      <c r="BA272" s="13">
        <v>2</v>
      </c>
      <c r="BB272" s="12"/>
      <c r="BC272" s="12"/>
      <c r="BD272" s="12"/>
      <c r="BE272" s="12"/>
      <c r="BF272" s="12"/>
      <c r="BG272" s="12"/>
      <c r="BH272" s="13">
        <f t="shared" si="7"/>
        <v>7</v>
      </c>
      <c r="BI272" s="14">
        <f>BH272*182.531428571429</f>
        <v>1277.720000000003</v>
      </c>
    </row>
    <row r="273" spans="1:61" ht="89.25" x14ac:dyDescent="0.25">
      <c r="A273" s="10">
        <v>268</v>
      </c>
      <c r="B273" s="11" t="s">
        <v>876</v>
      </c>
      <c r="C273" s="10" t="s">
        <v>876</v>
      </c>
      <c r="D273" s="10" t="s">
        <v>877</v>
      </c>
      <c r="E273" s="10" t="s">
        <v>878</v>
      </c>
      <c r="F273" s="10" t="s">
        <v>67</v>
      </c>
      <c r="G273" s="12"/>
      <c r="H273" s="13">
        <v>10</v>
      </c>
      <c r="I273" s="12"/>
      <c r="J273" s="12"/>
      <c r="K273" s="12"/>
      <c r="L273" s="12"/>
      <c r="M273" s="12"/>
      <c r="N273" s="12"/>
      <c r="O273" s="12"/>
      <c r="P273" s="12"/>
      <c r="Q273" s="12"/>
      <c r="R273" s="12"/>
      <c r="S273" s="12"/>
      <c r="T273" s="12"/>
      <c r="U273" s="12"/>
      <c r="V273" s="12"/>
      <c r="W273" s="12"/>
      <c r="X273" s="12"/>
      <c r="Y273" s="13">
        <v>1</v>
      </c>
      <c r="Z273" s="12"/>
      <c r="AA273" s="12"/>
      <c r="AB273" s="12"/>
      <c r="AC273" s="13">
        <v>10</v>
      </c>
      <c r="AD273" s="12"/>
      <c r="AE273" s="13">
        <v>20</v>
      </c>
      <c r="AF273" s="12"/>
      <c r="AG273" s="12"/>
      <c r="AH273" s="13">
        <v>6</v>
      </c>
      <c r="AI273" s="13">
        <v>2</v>
      </c>
      <c r="AJ273" s="12"/>
      <c r="AK273" s="12"/>
      <c r="AL273" s="13">
        <v>4</v>
      </c>
      <c r="AM273" s="13">
        <v>2</v>
      </c>
      <c r="AN273" s="12"/>
      <c r="AO273" s="12"/>
      <c r="AP273" s="12"/>
      <c r="AQ273" s="12"/>
      <c r="AR273" s="12"/>
      <c r="AS273" s="12"/>
      <c r="AT273" s="12"/>
      <c r="AU273" s="12"/>
      <c r="AV273" s="12"/>
      <c r="AW273" s="12"/>
      <c r="AX273" s="12"/>
      <c r="AY273" s="12"/>
      <c r="AZ273" s="12"/>
      <c r="BA273" s="12"/>
      <c r="BB273" s="12"/>
      <c r="BC273" s="12"/>
      <c r="BD273" s="12"/>
      <c r="BE273" s="12"/>
      <c r="BF273" s="12"/>
      <c r="BG273" s="12"/>
      <c r="BH273" s="13">
        <f t="shared" si="7"/>
        <v>55</v>
      </c>
      <c r="BI273" s="14">
        <f>BH273*168</f>
        <v>9240</v>
      </c>
    </row>
    <row r="274" spans="1:61" ht="76.5" x14ac:dyDescent="0.25">
      <c r="A274" s="10">
        <v>269</v>
      </c>
      <c r="B274" s="11" t="s">
        <v>879</v>
      </c>
      <c r="C274" s="10" t="s">
        <v>879</v>
      </c>
      <c r="D274" s="10" t="s">
        <v>880</v>
      </c>
      <c r="E274" s="10" t="s">
        <v>881</v>
      </c>
      <c r="F274" s="10" t="s">
        <v>67</v>
      </c>
      <c r="G274" s="12"/>
      <c r="H274" s="12"/>
      <c r="I274" s="12"/>
      <c r="J274" s="12"/>
      <c r="K274" s="12"/>
      <c r="L274" s="12"/>
      <c r="M274" s="12"/>
      <c r="N274" s="12"/>
      <c r="O274" s="12"/>
      <c r="P274" s="12"/>
      <c r="Q274" s="12"/>
      <c r="R274" s="12"/>
      <c r="S274" s="12"/>
      <c r="T274" s="12"/>
      <c r="U274" s="12"/>
      <c r="V274" s="12"/>
      <c r="W274" s="12"/>
      <c r="X274" s="12"/>
      <c r="Y274" s="12"/>
      <c r="Z274" s="13">
        <v>10</v>
      </c>
      <c r="AA274" s="12"/>
      <c r="AB274" s="12"/>
      <c r="AC274" s="12"/>
      <c r="AD274" s="12"/>
      <c r="AE274" s="12"/>
      <c r="AF274" s="12"/>
      <c r="AG274" s="13">
        <v>10</v>
      </c>
      <c r="AH274" s="12"/>
      <c r="AI274" s="12"/>
      <c r="AJ274" s="12"/>
      <c r="AK274" s="12"/>
      <c r="AL274" s="13">
        <v>2</v>
      </c>
      <c r="AM274" s="12"/>
      <c r="AN274" s="12"/>
      <c r="AO274" s="12"/>
      <c r="AP274" s="12"/>
      <c r="AQ274" s="12"/>
      <c r="AR274" s="12"/>
      <c r="AS274" s="12"/>
      <c r="AT274" s="12"/>
      <c r="AU274" s="12"/>
      <c r="AV274" s="12"/>
      <c r="AW274" s="12"/>
      <c r="AX274" s="12"/>
      <c r="AY274" s="12"/>
      <c r="AZ274" s="12"/>
      <c r="BA274" s="12"/>
      <c r="BB274" s="12"/>
      <c r="BC274" s="12"/>
      <c r="BD274" s="12"/>
      <c r="BE274" s="12"/>
      <c r="BF274" s="12"/>
      <c r="BG274" s="12"/>
      <c r="BH274" s="13">
        <f t="shared" si="7"/>
        <v>22</v>
      </c>
      <c r="BI274" s="14">
        <f>BH274*259.2</f>
        <v>5702.4</v>
      </c>
    </row>
    <row r="275" spans="1:61" ht="51" x14ac:dyDescent="0.25">
      <c r="A275" s="10">
        <v>270</v>
      </c>
      <c r="B275" s="11" t="s">
        <v>882</v>
      </c>
      <c r="C275" s="10" t="s">
        <v>882</v>
      </c>
      <c r="D275" s="10" t="s">
        <v>883</v>
      </c>
      <c r="E275" s="10" t="s">
        <v>884</v>
      </c>
      <c r="F275" s="10" t="s">
        <v>67</v>
      </c>
      <c r="G275" s="12"/>
      <c r="H275" s="12"/>
      <c r="I275" s="12"/>
      <c r="J275" s="12"/>
      <c r="K275" s="12"/>
      <c r="L275" s="12"/>
      <c r="M275" s="12"/>
      <c r="N275" s="12"/>
      <c r="O275" s="13">
        <v>2</v>
      </c>
      <c r="P275" s="12"/>
      <c r="Q275" s="12"/>
      <c r="R275" s="12"/>
      <c r="S275" s="12"/>
      <c r="T275" s="12"/>
      <c r="U275" s="12"/>
      <c r="V275" s="12"/>
      <c r="W275" s="12"/>
      <c r="X275" s="13">
        <v>35</v>
      </c>
      <c r="Y275" s="13">
        <v>5</v>
      </c>
      <c r="Z275" s="13">
        <v>30</v>
      </c>
      <c r="AA275" s="12"/>
      <c r="AB275" s="12"/>
      <c r="AC275" s="13">
        <v>60</v>
      </c>
      <c r="AD275" s="13">
        <v>5</v>
      </c>
      <c r="AE275" s="13">
        <v>20</v>
      </c>
      <c r="AF275" s="13">
        <v>3</v>
      </c>
      <c r="AG275" s="12"/>
      <c r="AH275" s="13">
        <v>31</v>
      </c>
      <c r="AI275" s="12"/>
      <c r="AJ275" s="12"/>
      <c r="AK275" s="13">
        <v>4</v>
      </c>
      <c r="AL275" s="13">
        <v>20</v>
      </c>
      <c r="AM275" s="12"/>
      <c r="AN275" s="12"/>
      <c r="AO275" s="13">
        <v>10</v>
      </c>
      <c r="AP275" s="12"/>
      <c r="AQ275" s="13">
        <v>2</v>
      </c>
      <c r="AR275" s="13">
        <v>30</v>
      </c>
      <c r="AS275" s="12"/>
      <c r="AT275" s="12"/>
      <c r="AU275" s="12"/>
      <c r="AV275" s="12"/>
      <c r="AW275" s="12"/>
      <c r="AX275" s="12"/>
      <c r="AY275" s="12"/>
      <c r="AZ275" s="13">
        <v>10</v>
      </c>
      <c r="BA275" s="12"/>
      <c r="BB275" s="12"/>
      <c r="BC275" s="13">
        <v>20</v>
      </c>
      <c r="BD275" s="13">
        <v>24</v>
      </c>
      <c r="BE275" s="12"/>
      <c r="BF275" s="12"/>
      <c r="BG275" s="12">
        <v>10</v>
      </c>
      <c r="BH275" s="13">
        <f t="shared" si="7"/>
        <v>321</v>
      </c>
      <c r="BI275" s="14">
        <f>BH275*38.9280064308682</f>
        <v>12495.890064308693</v>
      </c>
    </row>
    <row r="276" spans="1:61" ht="51" x14ac:dyDescent="0.25">
      <c r="A276" s="10">
        <v>271</v>
      </c>
      <c r="B276" s="11" t="s">
        <v>885</v>
      </c>
      <c r="C276" s="10" t="s">
        <v>885</v>
      </c>
      <c r="D276" s="11" t="s">
        <v>886</v>
      </c>
      <c r="E276" s="10" t="s">
        <v>887</v>
      </c>
      <c r="F276" s="10" t="s">
        <v>67</v>
      </c>
      <c r="G276" s="12"/>
      <c r="H276" s="12"/>
      <c r="I276" s="12"/>
      <c r="J276" s="12"/>
      <c r="K276" s="12"/>
      <c r="L276" s="12"/>
      <c r="M276" s="12"/>
      <c r="N276" s="12"/>
      <c r="O276" s="13">
        <v>2</v>
      </c>
      <c r="P276" s="12"/>
      <c r="Q276" s="13">
        <v>1</v>
      </c>
      <c r="R276" s="12"/>
      <c r="S276" s="12"/>
      <c r="T276" s="12"/>
      <c r="U276" s="12"/>
      <c r="V276" s="12"/>
      <c r="W276" s="12"/>
      <c r="X276" s="12"/>
      <c r="Y276" s="13">
        <v>5</v>
      </c>
      <c r="Z276" s="13">
        <v>10</v>
      </c>
      <c r="AA276" s="12"/>
      <c r="AB276" s="12"/>
      <c r="AC276" s="13">
        <v>60</v>
      </c>
      <c r="AD276" s="12"/>
      <c r="AE276" s="13">
        <v>20</v>
      </c>
      <c r="AF276" s="13">
        <v>3</v>
      </c>
      <c r="AG276" s="12"/>
      <c r="AH276" s="13">
        <v>31</v>
      </c>
      <c r="AI276" s="12"/>
      <c r="AJ276" s="12"/>
      <c r="AK276" s="13">
        <v>6</v>
      </c>
      <c r="AL276" s="12"/>
      <c r="AM276" s="12"/>
      <c r="AN276" s="12"/>
      <c r="AO276" s="13">
        <v>10</v>
      </c>
      <c r="AP276" s="12"/>
      <c r="AQ276" s="13">
        <v>2</v>
      </c>
      <c r="AR276" s="12"/>
      <c r="AS276" s="12"/>
      <c r="AT276" s="12"/>
      <c r="AU276" s="12"/>
      <c r="AV276" s="12"/>
      <c r="AW276" s="12"/>
      <c r="AX276" s="12"/>
      <c r="AY276" s="12"/>
      <c r="AZ276" s="12"/>
      <c r="BA276" s="13">
        <v>4</v>
      </c>
      <c r="BB276" s="12"/>
      <c r="BC276" s="12"/>
      <c r="BD276" s="13">
        <v>20</v>
      </c>
      <c r="BE276" s="12"/>
      <c r="BF276" s="12"/>
      <c r="BG276" s="12"/>
      <c r="BH276" s="13">
        <f t="shared" si="7"/>
        <v>174</v>
      </c>
      <c r="BI276" s="14">
        <f>BH276*24.8520114942529</f>
        <v>4324.2500000000045</v>
      </c>
    </row>
    <row r="277" spans="1:61" ht="38.25" x14ac:dyDescent="0.25">
      <c r="A277" s="10">
        <v>272</v>
      </c>
      <c r="B277" s="11" t="s">
        <v>888</v>
      </c>
      <c r="C277" s="10" t="s">
        <v>888</v>
      </c>
      <c r="D277" s="11" t="s">
        <v>889</v>
      </c>
      <c r="E277" s="10" t="s">
        <v>890</v>
      </c>
      <c r="F277" s="10" t="s">
        <v>67</v>
      </c>
      <c r="G277" s="12"/>
      <c r="H277" s="12"/>
      <c r="I277" s="12"/>
      <c r="J277" s="12"/>
      <c r="K277" s="12"/>
      <c r="L277" s="12"/>
      <c r="M277" s="12"/>
      <c r="N277" s="12"/>
      <c r="O277" s="12"/>
      <c r="P277" s="12"/>
      <c r="Q277" s="12"/>
      <c r="R277" s="12"/>
      <c r="S277" s="12"/>
      <c r="T277" s="12"/>
      <c r="U277" s="12"/>
      <c r="V277" s="12"/>
      <c r="W277" s="12"/>
      <c r="X277" s="12"/>
      <c r="Y277" s="13">
        <v>4</v>
      </c>
      <c r="Z277" s="12"/>
      <c r="AA277" s="12"/>
      <c r="AB277" s="12"/>
      <c r="AC277" s="12"/>
      <c r="AD277" s="13">
        <v>5</v>
      </c>
      <c r="AE277" s="12"/>
      <c r="AF277" s="12"/>
      <c r="AG277" s="13">
        <v>10</v>
      </c>
      <c r="AH277" s="13">
        <v>6</v>
      </c>
      <c r="AI277" s="12"/>
      <c r="AJ277" s="12"/>
      <c r="AK277" s="12"/>
      <c r="AL277" s="12"/>
      <c r="AM277" s="13">
        <v>4</v>
      </c>
      <c r="AN277" s="12"/>
      <c r="AO277" s="12"/>
      <c r="AP277" s="12"/>
      <c r="AQ277" s="12"/>
      <c r="AR277" s="12"/>
      <c r="AS277" s="12"/>
      <c r="AT277" s="12"/>
      <c r="AU277" s="12"/>
      <c r="AV277" s="12"/>
      <c r="AW277" s="12"/>
      <c r="AX277" s="12"/>
      <c r="AY277" s="12"/>
      <c r="AZ277" s="12"/>
      <c r="BA277" s="12"/>
      <c r="BB277" s="12"/>
      <c r="BC277" s="12"/>
      <c r="BD277" s="12"/>
      <c r="BE277" s="12"/>
      <c r="BF277" s="12"/>
      <c r="BG277" s="12"/>
      <c r="BH277" s="13">
        <f t="shared" si="7"/>
        <v>29</v>
      </c>
      <c r="BI277" s="14">
        <f>BH277*210</f>
        <v>6090</v>
      </c>
    </row>
    <row r="278" spans="1:61" ht="38.25" x14ac:dyDescent="0.25">
      <c r="A278" s="10">
        <v>273</v>
      </c>
      <c r="B278" s="11" t="s">
        <v>891</v>
      </c>
      <c r="C278" s="10" t="s">
        <v>891</v>
      </c>
      <c r="D278" s="11" t="s">
        <v>892</v>
      </c>
      <c r="E278" s="10" t="s">
        <v>893</v>
      </c>
      <c r="F278" s="10" t="s">
        <v>67</v>
      </c>
      <c r="G278" s="12"/>
      <c r="H278" s="12"/>
      <c r="I278" s="12"/>
      <c r="J278" s="12"/>
      <c r="K278" s="12"/>
      <c r="L278" s="12"/>
      <c r="M278" s="12"/>
      <c r="N278" s="12"/>
      <c r="O278" s="12"/>
      <c r="P278" s="12"/>
      <c r="Q278" s="12"/>
      <c r="R278" s="12"/>
      <c r="S278" s="12"/>
      <c r="T278" s="12"/>
      <c r="U278" s="12"/>
      <c r="V278" s="12"/>
      <c r="W278" s="12"/>
      <c r="X278" s="12"/>
      <c r="Y278" s="12"/>
      <c r="Z278" s="13">
        <v>42</v>
      </c>
      <c r="AA278" s="12"/>
      <c r="AB278" s="12"/>
      <c r="AC278" s="12"/>
      <c r="AD278" s="13">
        <v>5</v>
      </c>
      <c r="AE278" s="12"/>
      <c r="AF278" s="12"/>
      <c r="AG278" s="12"/>
      <c r="AH278" s="13">
        <v>6</v>
      </c>
      <c r="AI278" s="13">
        <v>5</v>
      </c>
      <c r="AJ278" s="12"/>
      <c r="AK278" s="12"/>
      <c r="AL278" s="12"/>
      <c r="AM278" s="13">
        <v>4</v>
      </c>
      <c r="AN278" s="12"/>
      <c r="AO278" s="12"/>
      <c r="AP278" s="12"/>
      <c r="AQ278" s="12"/>
      <c r="AR278" s="12"/>
      <c r="AS278" s="12"/>
      <c r="AT278" s="12"/>
      <c r="AU278" s="12"/>
      <c r="AV278" s="12"/>
      <c r="AW278" s="12"/>
      <c r="AX278" s="12"/>
      <c r="AY278" s="12"/>
      <c r="AZ278" s="12"/>
      <c r="BA278" s="12"/>
      <c r="BB278" s="12"/>
      <c r="BC278" s="12"/>
      <c r="BD278" s="12"/>
      <c r="BE278" s="12"/>
      <c r="BF278" s="12"/>
      <c r="BG278" s="12"/>
      <c r="BH278" s="13">
        <f t="shared" si="7"/>
        <v>62</v>
      </c>
      <c r="BI278" s="14">
        <f>BH278*210</f>
        <v>13020</v>
      </c>
    </row>
    <row r="279" spans="1:61" ht="63.75" x14ac:dyDescent="0.25">
      <c r="A279" s="10">
        <v>274</v>
      </c>
      <c r="B279" s="11" t="s">
        <v>894</v>
      </c>
      <c r="C279" s="10" t="s">
        <v>894</v>
      </c>
      <c r="D279" s="11" t="s">
        <v>895</v>
      </c>
      <c r="E279" s="10" t="s">
        <v>896</v>
      </c>
      <c r="F279" s="10" t="s">
        <v>67</v>
      </c>
      <c r="G279" s="12"/>
      <c r="H279" s="12"/>
      <c r="I279" s="12"/>
      <c r="J279" s="12"/>
      <c r="K279" s="12"/>
      <c r="L279" s="12"/>
      <c r="M279" s="12"/>
      <c r="N279" s="12"/>
      <c r="O279" s="12"/>
      <c r="P279" s="12"/>
      <c r="Q279" s="12"/>
      <c r="R279" s="12"/>
      <c r="S279" s="12"/>
      <c r="T279" s="12"/>
      <c r="U279" s="12"/>
      <c r="V279" s="12"/>
      <c r="W279" s="12"/>
      <c r="X279" s="12"/>
      <c r="Y279" s="13">
        <v>2</v>
      </c>
      <c r="Z279" s="12"/>
      <c r="AA279" s="12"/>
      <c r="AB279" s="12"/>
      <c r="AC279" s="12"/>
      <c r="AD279" s="13">
        <v>5</v>
      </c>
      <c r="AE279" s="12"/>
      <c r="AF279" s="12"/>
      <c r="AG279" s="12"/>
      <c r="AH279" s="13">
        <v>20</v>
      </c>
      <c r="AI279" s="12"/>
      <c r="AJ279" s="12"/>
      <c r="AK279" s="12"/>
      <c r="AL279" s="12"/>
      <c r="AM279" s="12"/>
      <c r="AN279" s="12"/>
      <c r="AO279" s="12"/>
      <c r="AP279" s="12"/>
      <c r="AQ279" s="12"/>
      <c r="AR279" s="13">
        <v>10</v>
      </c>
      <c r="AS279" s="12"/>
      <c r="AT279" s="12"/>
      <c r="AU279" s="12"/>
      <c r="AV279" s="12"/>
      <c r="AW279" s="12"/>
      <c r="AX279" s="12"/>
      <c r="AY279" s="12"/>
      <c r="AZ279" s="12"/>
      <c r="BA279" s="12"/>
      <c r="BB279" s="12"/>
      <c r="BC279" s="12"/>
      <c r="BD279" s="12"/>
      <c r="BE279" s="12"/>
      <c r="BF279" s="12"/>
      <c r="BG279" s="12"/>
      <c r="BH279" s="13">
        <f t="shared" si="7"/>
        <v>37</v>
      </c>
      <c r="BI279" s="14">
        <f>BH279*2982</f>
        <v>110334</v>
      </c>
    </row>
    <row r="280" spans="1:61" ht="63.75" x14ac:dyDescent="0.25">
      <c r="A280" s="10">
        <v>275</v>
      </c>
      <c r="B280" s="11" t="s">
        <v>897</v>
      </c>
      <c r="C280" s="10" t="s">
        <v>897</v>
      </c>
      <c r="D280" s="11" t="s">
        <v>898</v>
      </c>
      <c r="E280" s="10" t="s">
        <v>899</v>
      </c>
      <c r="F280" s="10" t="s">
        <v>67</v>
      </c>
      <c r="G280" s="12"/>
      <c r="H280" s="12"/>
      <c r="I280" s="12"/>
      <c r="J280" s="12"/>
      <c r="K280" s="12"/>
      <c r="L280" s="12"/>
      <c r="M280" s="12"/>
      <c r="N280" s="12"/>
      <c r="O280" s="12"/>
      <c r="P280" s="12"/>
      <c r="Q280" s="12"/>
      <c r="R280" s="12"/>
      <c r="S280" s="12"/>
      <c r="T280" s="12"/>
      <c r="U280" s="12"/>
      <c r="V280" s="12"/>
      <c r="W280" s="12"/>
      <c r="X280" s="12"/>
      <c r="Y280" s="12"/>
      <c r="Z280" s="13">
        <v>10</v>
      </c>
      <c r="AA280" s="12"/>
      <c r="AB280" s="12"/>
      <c r="AC280" s="12"/>
      <c r="AD280" s="12"/>
      <c r="AE280" s="12"/>
      <c r="AF280" s="12"/>
      <c r="AG280" s="12"/>
      <c r="AH280" s="13">
        <v>28</v>
      </c>
      <c r="AI280" s="13">
        <v>7</v>
      </c>
      <c r="AJ280" s="12"/>
      <c r="AK280" s="12"/>
      <c r="AL280" s="12"/>
      <c r="AM280" s="12"/>
      <c r="AN280" s="12"/>
      <c r="AO280" s="12"/>
      <c r="AP280" s="12"/>
      <c r="AQ280" s="12"/>
      <c r="AR280" s="12"/>
      <c r="AS280" s="12"/>
      <c r="AT280" s="12"/>
      <c r="AU280" s="12"/>
      <c r="AV280" s="12"/>
      <c r="AW280" s="12"/>
      <c r="AX280" s="12"/>
      <c r="AY280" s="12"/>
      <c r="AZ280" s="12"/>
      <c r="BA280" s="12"/>
      <c r="BB280" s="13">
        <v>5</v>
      </c>
      <c r="BC280" s="12"/>
      <c r="BD280" s="12"/>
      <c r="BE280" s="12"/>
      <c r="BF280" s="12"/>
      <c r="BG280" s="12"/>
      <c r="BH280" s="13">
        <f t="shared" si="7"/>
        <v>50</v>
      </c>
      <c r="BI280" s="14">
        <f>BH280*286.068</f>
        <v>14303.4</v>
      </c>
    </row>
    <row r="281" spans="1:61" ht="51" x14ac:dyDescent="0.25">
      <c r="A281" s="10">
        <v>276</v>
      </c>
      <c r="B281" s="11" t="s">
        <v>900</v>
      </c>
      <c r="C281" s="10" t="s">
        <v>900</v>
      </c>
      <c r="D281" s="11" t="s">
        <v>901</v>
      </c>
      <c r="E281" s="10" t="s">
        <v>902</v>
      </c>
      <c r="F281" s="10" t="s">
        <v>67</v>
      </c>
      <c r="G281" s="12"/>
      <c r="H281" s="12"/>
      <c r="I281" s="12"/>
      <c r="J281" s="12"/>
      <c r="K281" s="12"/>
      <c r="L281" s="13">
        <v>5</v>
      </c>
      <c r="M281" s="12"/>
      <c r="N281" s="12"/>
      <c r="O281" s="12"/>
      <c r="P281" s="12"/>
      <c r="Q281" s="12"/>
      <c r="R281" s="12"/>
      <c r="S281" s="12"/>
      <c r="T281" s="12"/>
      <c r="U281" s="12"/>
      <c r="V281" s="12"/>
      <c r="W281" s="12"/>
      <c r="X281" s="12"/>
      <c r="Y281" s="13">
        <v>4</v>
      </c>
      <c r="Z281" s="13">
        <v>32</v>
      </c>
      <c r="AA281" s="12"/>
      <c r="AB281" s="12"/>
      <c r="AC281" s="12"/>
      <c r="AD281" s="13">
        <v>10</v>
      </c>
      <c r="AE281" s="13">
        <v>40</v>
      </c>
      <c r="AF281" s="12"/>
      <c r="AG281" s="12"/>
      <c r="AH281" s="13">
        <v>60</v>
      </c>
      <c r="AI281" s="13">
        <v>10</v>
      </c>
      <c r="AJ281" s="12"/>
      <c r="AK281" s="12"/>
      <c r="AL281" s="12"/>
      <c r="AM281" s="13">
        <v>4</v>
      </c>
      <c r="AN281" s="12"/>
      <c r="AO281" s="12"/>
      <c r="AP281" s="13">
        <v>10</v>
      </c>
      <c r="AQ281" s="12"/>
      <c r="AR281" s="12"/>
      <c r="AS281" s="12"/>
      <c r="AT281" s="12"/>
      <c r="AU281" s="12"/>
      <c r="AV281" s="12"/>
      <c r="AW281" s="12"/>
      <c r="AX281" s="12"/>
      <c r="AY281" s="12"/>
      <c r="AZ281" s="12"/>
      <c r="BA281" s="12"/>
      <c r="BB281" s="12"/>
      <c r="BC281" s="12"/>
      <c r="BD281" s="13">
        <v>20</v>
      </c>
      <c r="BE281" s="12"/>
      <c r="BF281" s="12"/>
      <c r="BG281" s="12"/>
      <c r="BH281" s="13">
        <f t="shared" si="7"/>
        <v>195</v>
      </c>
      <c r="BI281" s="14">
        <f>BH281*203.736</f>
        <v>39728.519999999997</v>
      </c>
    </row>
    <row r="282" spans="1:61" ht="51" x14ac:dyDescent="0.25">
      <c r="A282" s="10">
        <v>277</v>
      </c>
      <c r="B282" s="11" t="s">
        <v>903</v>
      </c>
      <c r="C282" s="10" t="s">
        <v>903</v>
      </c>
      <c r="D282" s="11" t="s">
        <v>904</v>
      </c>
      <c r="E282" s="10" t="s">
        <v>905</v>
      </c>
      <c r="F282" s="10" t="s">
        <v>67</v>
      </c>
      <c r="G282" s="12"/>
      <c r="H282" s="12"/>
      <c r="I282" s="12"/>
      <c r="J282" s="12"/>
      <c r="K282" s="12"/>
      <c r="L282" s="13">
        <v>10</v>
      </c>
      <c r="M282" s="12"/>
      <c r="N282" s="12"/>
      <c r="O282" s="12"/>
      <c r="P282" s="12"/>
      <c r="Q282" s="12"/>
      <c r="R282" s="12"/>
      <c r="S282" s="12"/>
      <c r="T282" s="12"/>
      <c r="U282" s="12"/>
      <c r="V282" s="12"/>
      <c r="W282" s="13">
        <v>20</v>
      </c>
      <c r="X282" s="12"/>
      <c r="Y282" s="13">
        <v>5</v>
      </c>
      <c r="Z282" s="13">
        <v>80</v>
      </c>
      <c r="AA282" s="12"/>
      <c r="AB282" s="12"/>
      <c r="AC282" s="13">
        <v>50</v>
      </c>
      <c r="AD282" s="13">
        <v>20</v>
      </c>
      <c r="AE282" s="13">
        <v>70</v>
      </c>
      <c r="AF282" s="13">
        <v>5</v>
      </c>
      <c r="AG282" s="12"/>
      <c r="AH282" s="13">
        <v>80</v>
      </c>
      <c r="AI282" s="13">
        <v>15</v>
      </c>
      <c r="AJ282" s="12"/>
      <c r="AK282" s="12"/>
      <c r="AL282" s="13">
        <v>19</v>
      </c>
      <c r="AM282" s="13">
        <v>4</v>
      </c>
      <c r="AN282" s="12"/>
      <c r="AO282" s="13">
        <v>10</v>
      </c>
      <c r="AP282" s="13">
        <v>5</v>
      </c>
      <c r="AQ282" s="12"/>
      <c r="AR282" s="13">
        <v>20</v>
      </c>
      <c r="AS282" s="13">
        <v>4</v>
      </c>
      <c r="AT282" s="13">
        <v>5</v>
      </c>
      <c r="AU282" s="13">
        <v>10</v>
      </c>
      <c r="AV282" s="12"/>
      <c r="AW282" s="12"/>
      <c r="AX282" s="13">
        <v>2</v>
      </c>
      <c r="AY282" s="13">
        <v>5</v>
      </c>
      <c r="AZ282" s="12"/>
      <c r="BA282" s="13">
        <v>12</v>
      </c>
      <c r="BB282" s="13">
        <v>2</v>
      </c>
      <c r="BC282" s="13">
        <v>20</v>
      </c>
      <c r="BD282" s="13">
        <v>40</v>
      </c>
      <c r="BE282" s="12"/>
      <c r="BF282" s="12"/>
      <c r="BG282" s="12">
        <v>20</v>
      </c>
      <c r="BH282" s="13">
        <f t="shared" si="7"/>
        <v>533</v>
      </c>
      <c r="BI282" s="14">
        <f>BH282*86.9639961013645</f>
        <v>46351.809922027278</v>
      </c>
    </row>
    <row r="283" spans="1:61" ht="51" x14ac:dyDescent="0.25">
      <c r="A283" s="10">
        <v>278</v>
      </c>
      <c r="B283" s="11" t="s">
        <v>906</v>
      </c>
      <c r="C283" s="10" t="s">
        <v>906</v>
      </c>
      <c r="D283" s="11" t="s">
        <v>907</v>
      </c>
      <c r="E283" s="10" t="s">
        <v>908</v>
      </c>
      <c r="F283" s="10" t="s">
        <v>67</v>
      </c>
      <c r="G283" s="12"/>
      <c r="H283" s="12"/>
      <c r="I283" s="12"/>
      <c r="J283" s="12"/>
      <c r="K283" s="12"/>
      <c r="L283" s="12"/>
      <c r="M283" s="12"/>
      <c r="N283" s="12"/>
      <c r="O283" s="12"/>
      <c r="P283" s="12"/>
      <c r="Q283" s="12"/>
      <c r="R283" s="13">
        <v>2</v>
      </c>
      <c r="S283" s="12"/>
      <c r="T283" s="12"/>
      <c r="U283" s="12"/>
      <c r="V283" s="12"/>
      <c r="W283" s="12"/>
      <c r="X283" s="13">
        <v>15</v>
      </c>
      <c r="Y283" s="13">
        <v>5</v>
      </c>
      <c r="Z283" s="13">
        <v>40</v>
      </c>
      <c r="AA283" s="12"/>
      <c r="AB283" s="12"/>
      <c r="AC283" s="13">
        <v>30</v>
      </c>
      <c r="AD283" s="13">
        <v>15</v>
      </c>
      <c r="AE283" s="13">
        <v>10</v>
      </c>
      <c r="AF283" s="12"/>
      <c r="AG283" s="12"/>
      <c r="AH283" s="13">
        <v>61</v>
      </c>
      <c r="AI283" s="13">
        <v>2</v>
      </c>
      <c r="AJ283" s="12"/>
      <c r="AK283" s="12"/>
      <c r="AL283" s="12"/>
      <c r="AM283" s="12"/>
      <c r="AN283" s="13">
        <v>2</v>
      </c>
      <c r="AO283" s="12"/>
      <c r="AP283" s="13">
        <v>10</v>
      </c>
      <c r="AQ283" s="12"/>
      <c r="AR283" s="12"/>
      <c r="AS283" s="12"/>
      <c r="AT283" s="12"/>
      <c r="AU283" s="12"/>
      <c r="AV283" s="12"/>
      <c r="AW283" s="12"/>
      <c r="AX283" s="12"/>
      <c r="AY283" s="13">
        <v>5</v>
      </c>
      <c r="AZ283" s="12"/>
      <c r="BA283" s="12"/>
      <c r="BB283" s="12"/>
      <c r="BC283" s="13">
        <v>4</v>
      </c>
      <c r="BD283" s="13">
        <v>30</v>
      </c>
      <c r="BE283" s="12"/>
      <c r="BF283" s="12"/>
      <c r="BG283" s="12"/>
      <c r="BH283" s="13">
        <f t="shared" si="7"/>
        <v>231</v>
      </c>
      <c r="BI283" s="14">
        <f>BH283*95.94</f>
        <v>22162.14</v>
      </c>
    </row>
    <row r="284" spans="1:61" ht="76.5" x14ac:dyDescent="0.25">
      <c r="A284" s="10">
        <v>279</v>
      </c>
      <c r="B284" s="11" t="s">
        <v>909</v>
      </c>
      <c r="C284" s="10" t="s">
        <v>909</v>
      </c>
      <c r="D284" s="11" t="s">
        <v>910</v>
      </c>
      <c r="E284" s="10" t="s">
        <v>911</v>
      </c>
      <c r="F284" s="10" t="s">
        <v>67</v>
      </c>
      <c r="G284" s="12"/>
      <c r="H284" s="12"/>
      <c r="I284" s="12"/>
      <c r="J284" s="12"/>
      <c r="K284" s="12"/>
      <c r="L284" s="12"/>
      <c r="M284" s="12"/>
      <c r="N284" s="12"/>
      <c r="O284" s="12"/>
      <c r="P284" s="12"/>
      <c r="Q284" s="12"/>
      <c r="R284" s="12"/>
      <c r="S284" s="13">
        <v>20</v>
      </c>
      <c r="T284" s="12"/>
      <c r="U284" s="12"/>
      <c r="V284" s="12"/>
      <c r="W284" s="12"/>
      <c r="X284" s="13">
        <v>30</v>
      </c>
      <c r="Y284" s="13">
        <v>5</v>
      </c>
      <c r="Z284" s="13">
        <v>112</v>
      </c>
      <c r="AA284" s="12"/>
      <c r="AB284" s="12"/>
      <c r="AC284" s="13">
        <v>100</v>
      </c>
      <c r="AD284" s="13">
        <v>50</v>
      </c>
      <c r="AE284" s="13">
        <v>15</v>
      </c>
      <c r="AF284" s="13">
        <v>20</v>
      </c>
      <c r="AG284" s="13">
        <v>15</v>
      </c>
      <c r="AH284" s="13">
        <v>40</v>
      </c>
      <c r="AI284" s="12"/>
      <c r="AJ284" s="12"/>
      <c r="AK284" s="12"/>
      <c r="AL284" s="12"/>
      <c r="AM284" s="12"/>
      <c r="AN284" s="12"/>
      <c r="AO284" s="13">
        <v>10</v>
      </c>
      <c r="AP284" s="13">
        <v>10</v>
      </c>
      <c r="AQ284" s="12"/>
      <c r="AR284" s="13">
        <v>20</v>
      </c>
      <c r="AS284" s="13">
        <v>4</v>
      </c>
      <c r="AT284" s="12"/>
      <c r="AU284" s="12"/>
      <c r="AV284" s="12"/>
      <c r="AW284" s="12"/>
      <c r="AX284" s="12"/>
      <c r="AY284" s="12"/>
      <c r="AZ284" s="12"/>
      <c r="BA284" s="13">
        <v>12</v>
      </c>
      <c r="BB284" s="13">
        <v>2</v>
      </c>
      <c r="BC284" s="13">
        <v>20</v>
      </c>
      <c r="BD284" s="13">
        <v>30</v>
      </c>
      <c r="BE284" s="12"/>
      <c r="BF284" s="12"/>
      <c r="BG284" s="12"/>
      <c r="BH284" s="13">
        <f t="shared" si="7"/>
        <v>515</v>
      </c>
      <c r="BI284" s="14">
        <f>BH284*65.376</f>
        <v>33668.639999999999</v>
      </c>
    </row>
    <row r="285" spans="1:61" ht="51" x14ac:dyDescent="0.25">
      <c r="A285" s="10">
        <v>280</v>
      </c>
      <c r="B285" s="11" t="s">
        <v>912</v>
      </c>
      <c r="C285" s="10" t="s">
        <v>912</v>
      </c>
      <c r="D285" s="11" t="s">
        <v>913</v>
      </c>
      <c r="E285" s="10" t="s">
        <v>914</v>
      </c>
      <c r="F285" s="10" t="s">
        <v>67</v>
      </c>
      <c r="G285" s="12"/>
      <c r="H285" s="12"/>
      <c r="I285" s="12"/>
      <c r="J285" s="12"/>
      <c r="K285" s="12"/>
      <c r="L285" s="13">
        <v>20</v>
      </c>
      <c r="M285" s="12"/>
      <c r="N285" s="13">
        <v>3</v>
      </c>
      <c r="O285" s="12"/>
      <c r="P285" s="12"/>
      <c r="Q285" s="12"/>
      <c r="R285" s="12"/>
      <c r="S285" s="12"/>
      <c r="T285" s="12"/>
      <c r="U285" s="12"/>
      <c r="V285" s="13">
        <v>21</v>
      </c>
      <c r="W285" s="12"/>
      <c r="X285" s="12"/>
      <c r="Y285" s="12"/>
      <c r="Z285" s="12"/>
      <c r="AA285" s="12"/>
      <c r="AB285" s="12"/>
      <c r="AC285" s="13">
        <v>50</v>
      </c>
      <c r="AD285" s="13">
        <v>30</v>
      </c>
      <c r="AE285" s="13">
        <v>10</v>
      </c>
      <c r="AF285" s="13">
        <v>20</v>
      </c>
      <c r="AG285" s="12"/>
      <c r="AH285" s="13">
        <v>31</v>
      </c>
      <c r="AI285" s="13">
        <v>12</v>
      </c>
      <c r="AJ285" s="12"/>
      <c r="AK285" s="12"/>
      <c r="AL285" s="13">
        <v>31</v>
      </c>
      <c r="AM285" s="13">
        <v>4</v>
      </c>
      <c r="AN285" s="12"/>
      <c r="AO285" s="12"/>
      <c r="AP285" s="13">
        <v>5</v>
      </c>
      <c r="AQ285" s="12"/>
      <c r="AR285" s="12"/>
      <c r="AS285" s="13">
        <v>4</v>
      </c>
      <c r="AT285" s="13">
        <v>5</v>
      </c>
      <c r="AU285" s="12"/>
      <c r="AV285" s="12"/>
      <c r="AW285" s="12"/>
      <c r="AX285" s="12"/>
      <c r="AY285" s="12"/>
      <c r="AZ285" s="12"/>
      <c r="BA285" s="13">
        <v>5</v>
      </c>
      <c r="BB285" s="13">
        <v>5</v>
      </c>
      <c r="BC285" s="13">
        <v>50</v>
      </c>
      <c r="BD285" s="13">
        <v>15</v>
      </c>
      <c r="BE285" s="12"/>
      <c r="BF285" s="12"/>
      <c r="BG285" s="12"/>
      <c r="BH285" s="13">
        <f t="shared" si="7"/>
        <v>321</v>
      </c>
      <c r="BI285" s="14">
        <f>BH285*67.08</f>
        <v>21532.68</v>
      </c>
    </row>
    <row r="286" spans="1:61" ht="76.5" x14ac:dyDescent="0.25">
      <c r="A286" s="10">
        <v>281</v>
      </c>
      <c r="B286" s="11" t="s">
        <v>915</v>
      </c>
      <c r="C286" s="10" t="s">
        <v>915</v>
      </c>
      <c r="D286" s="10" t="s">
        <v>916</v>
      </c>
      <c r="E286" s="10" t="s">
        <v>968</v>
      </c>
      <c r="F286" s="10" t="s">
        <v>67</v>
      </c>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3">
        <v>12</v>
      </c>
      <c r="AI286" s="12"/>
      <c r="AJ286" s="12"/>
      <c r="AK286" s="12"/>
      <c r="AL286" s="12"/>
      <c r="AM286" s="12"/>
      <c r="AN286" s="12"/>
      <c r="AO286" s="12"/>
      <c r="AP286" s="13">
        <v>1</v>
      </c>
      <c r="AQ286" s="12"/>
      <c r="AR286" s="13">
        <v>1</v>
      </c>
      <c r="AS286" s="12"/>
      <c r="AT286" s="12"/>
      <c r="AU286" s="12"/>
      <c r="AV286" s="12"/>
      <c r="AW286" s="12"/>
      <c r="AX286" s="12"/>
      <c r="AY286" s="12"/>
      <c r="AZ286" s="12"/>
      <c r="BA286" s="12"/>
      <c r="BB286" s="12"/>
      <c r="BC286" s="12"/>
      <c r="BD286" s="12"/>
      <c r="BE286" s="12"/>
      <c r="BF286" s="12"/>
      <c r="BG286" s="12"/>
      <c r="BH286" s="13">
        <f t="shared" si="7"/>
        <v>14</v>
      </c>
      <c r="BI286" s="14">
        <f>BH286*10293.5042857143</f>
        <v>144109.0600000002</v>
      </c>
    </row>
    <row r="287" spans="1:61" ht="63.75" x14ac:dyDescent="0.25">
      <c r="A287" s="10">
        <v>282</v>
      </c>
      <c r="B287" s="11" t="s">
        <v>917</v>
      </c>
      <c r="C287" s="10" t="s">
        <v>917</v>
      </c>
      <c r="D287" s="11" t="s">
        <v>918</v>
      </c>
      <c r="E287" s="10" t="s">
        <v>919</v>
      </c>
      <c r="F287" s="10" t="s">
        <v>67</v>
      </c>
      <c r="G287" s="12"/>
      <c r="H287" s="12"/>
      <c r="I287" s="12"/>
      <c r="J287" s="12"/>
      <c r="K287" s="13">
        <v>20</v>
      </c>
      <c r="L287" s="12"/>
      <c r="M287" s="12"/>
      <c r="N287" s="12"/>
      <c r="O287" s="12"/>
      <c r="P287" s="12"/>
      <c r="Q287" s="12"/>
      <c r="R287" s="12"/>
      <c r="S287" s="12"/>
      <c r="T287" s="12"/>
      <c r="U287" s="12"/>
      <c r="V287" s="12"/>
      <c r="W287" s="12"/>
      <c r="X287" s="13">
        <v>10</v>
      </c>
      <c r="Y287" s="12"/>
      <c r="Z287" s="13">
        <v>15</v>
      </c>
      <c r="AA287" s="12"/>
      <c r="AB287" s="12"/>
      <c r="AC287" s="13">
        <v>6</v>
      </c>
      <c r="AD287" s="12"/>
      <c r="AE287" s="13">
        <v>9</v>
      </c>
      <c r="AF287" s="12"/>
      <c r="AG287" s="12"/>
      <c r="AH287" s="13">
        <v>20</v>
      </c>
      <c r="AI287" s="12"/>
      <c r="AJ287" s="12"/>
      <c r="AK287" s="12"/>
      <c r="AL287" s="12"/>
      <c r="AM287" s="12"/>
      <c r="AN287" s="12"/>
      <c r="AO287" s="12"/>
      <c r="AP287" s="13">
        <v>2</v>
      </c>
      <c r="AQ287" s="12"/>
      <c r="AR287" s="13">
        <v>20</v>
      </c>
      <c r="AS287" s="12"/>
      <c r="AT287" s="12"/>
      <c r="AU287" s="12"/>
      <c r="AV287" s="12"/>
      <c r="AW287" s="12"/>
      <c r="AX287" s="12"/>
      <c r="AY287" s="12"/>
      <c r="AZ287" s="12"/>
      <c r="BA287" s="12"/>
      <c r="BB287" s="12"/>
      <c r="BC287" s="13">
        <v>2</v>
      </c>
      <c r="BD287" s="13">
        <v>15</v>
      </c>
      <c r="BE287" s="12"/>
      <c r="BF287" s="12"/>
      <c r="BG287" s="12"/>
      <c r="BH287" s="13">
        <f t="shared" si="7"/>
        <v>119</v>
      </c>
      <c r="BI287" s="14">
        <f>BH287*85.0079831932773</f>
        <v>10115.949999999999</v>
      </c>
    </row>
    <row r="288" spans="1:61" ht="38.25" x14ac:dyDescent="0.25">
      <c r="A288" s="10">
        <v>283</v>
      </c>
      <c r="B288" s="11" t="s">
        <v>920</v>
      </c>
      <c r="C288" s="10" t="s">
        <v>920</v>
      </c>
      <c r="D288" s="10" t="s">
        <v>921</v>
      </c>
      <c r="E288" s="10" t="s">
        <v>922</v>
      </c>
      <c r="F288" s="10" t="s">
        <v>67</v>
      </c>
      <c r="G288" s="12"/>
      <c r="H288" s="12"/>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c r="AV288" s="12"/>
      <c r="AW288" s="12"/>
      <c r="AX288" s="12"/>
      <c r="AY288" s="12"/>
      <c r="AZ288" s="12"/>
      <c r="BA288" s="12"/>
      <c r="BB288" s="12"/>
      <c r="BC288" s="12"/>
      <c r="BD288" s="13">
        <v>5</v>
      </c>
      <c r="BE288" s="12"/>
      <c r="BF288" s="12"/>
      <c r="BG288" s="12"/>
      <c r="BH288" s="13">
        <f t="shared" si="7"/>
        <v>5</v>
      </c>
      <c r="BI288" s="14">
        <f>BH288*480</f>
        <v>2400</v>
      </c>
    </row>
    <row r="289" spans="1:61" ht="63.75" x14ac:dyDescent="0.25">
      <c r="A289" s="10">
        <v>284</v>
      </c>
      <c r="B289" s="11" t="s">
        <v>923</v>
      </c>
      <c r="C289" s="10" t="s">
        <v>923</v>
      </c>
      <c r="D289" s="10" t="s">
        <v>924</v>
      </c>
      <c r="E289" s="10" t="s">
        <v>925</v>
      </c>
      <c r="F289" s="10" t="s">
        <v>67</v>
      </c>
      <c r="G289" s="12"/>
      <c r="H289" s="12"/>
      <c r="I289" s="12"/>
      <c r="J289" s="12"/>
      <c r="K289" s="12"/>
      <c r="L289" s="12"/>
      <c r="M289" s="12"/>
      <c r="N289" s="12"/>
      <c r="O289" s="12"/>
      <c r="P289" s="12"/>
      <c r="Q289" s="12"/>
      <c r="R289" s="12"/>
      <c r="S289" s="12"/>
      <c r="T289" s="12"/>
      <c r="U289" s="12"/>
      <c r="V289" s="12"/>
      <c r="W289" s="12"/>
      <c r="X289" s="12"/>
      <c r="Y289" s="13">
        <v>2</v>
      </c>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c r="AV289" s="12"/>
      <c r="AW289" s="12"/>
      <c r="AX289" s="12"/>
      <c r="AY289" s="12"/>
      <c r="AZ289" s="12"/>
      <c r="BA289" s="12"/>
      <c r="BB289" s="12"/>
      <c r="BC289" s="12"/>
      <c r="BD289" s="13">
        <v>2</v>
      </c>
      <c r="BE289" s="12"/>
      <c r="BF289" s="12"/>
      <c r="BG289" s="12"/>
      <c r="BH289" s="13">
        <f t="shared" si="7"/>
        <v>4</v>
      </c>
      <c r="BI289" s="14">
        <f>BH289*3000</f>
        <v>12000</v>
      </c>
    </row>
    <row r="290" spans="1:61" ht="63.75" x14ac:dyDescent="0.25">
      <c r="A290" s="10">
        <v>285</v>
      </c>
      <c r="B290" s="11" t="s">
        <v>926</v>
      </c>
      <c r="C290" s="10" t="s">
        <v>926</v>
      </c>
      <c r="D290" s="10" t="s">
        <v>927</v>
      </c>
      <c r="E290" s="10" t="s">
        <v>928</v>
      </c>
      <c r="F290" s="10" t="s">
        <v>67</v>
      </c>
      <c r="G290" s="12"/>
      <c r="H290" s="12"/>
      <c r="I290" s="12"/>
      <c r="J290" s="12"/>
      <c r="K290" s="12"/>
      <c r="L290" s="12"/>
      <c r="M290" s="12"/>
      <c r="N290" s="12"/>
      <c r="O290" s="12"/>
      <c r="P290" s="12"/>
      <c r="Q290" s="12"/>
      <c r="R290" s="12"/>
      <c r="S290" s="12"/>
      <c r="T290" s="12"/>
      <c r="U290" s="12"/>
      <c r="V290" s="12"/>
      <c r="W290" s="12"/>
      <c r="X290" s="12"/>
      <c r="Y290" s="13">
        <v>1</v>
      </c>
      <c r="Z290" s="12"/>
      <c r="AA290" s="12"/>
      <c r="AB290" s="12"/>
      <c r="AC290" s="13">
        <v>6</v>
      </c>
      <c r="AD290" s="12"/>
      <c r="AE290" s="12"/>
      <c r="AF290" s="12"/>
      <c r="AG290" s="12"/>
      <c r="AH290" s="12"/>
      <c r="AI290" s="12"/>
      <c r="AJ290" s="12"/>
      <c r="AK290" s="12"/>
      <c r="AL290" s="12"/>
      <c r="AM290" s="12"/>
      <c r="AN290" s="12"/>
      <c r="AO290" s="12"/>
      <c r="AP290" s="13">
        <v>1</v>
      </c>
      <c r="AQ290" s="12"/>
      <c r="AR290" s="12"/>
      <c r="AS290" s="12"/>
      <c r="AT290" s="12"/>
      <c r="AU290" s="12"/>
      <c r="AV290" s="12"/>
      <c r="AW290" s="12"/>
      <c r="AX290" s="12"/>
      <c r="AY290" s="12"/>
      <c r="AZ290" s="12"/>
      <c r="BA290" s="12"/>
      <c r="BB290" s="12"/>
      <c r="BC290" s="12"/>
      <c r="BD290" s="12"/>
      <c r="BE290" s="12"/>
      <c r="BF290" s="12"/>
      <c r="BG290" s="12"/>
      <c r="BH290" s="13">
        <f t="shared" si="7"/>
        <v>8</v>
      </c>
      <c r="BI290" s="14">
        <f>BH290*3724.52375</f>
        <v>29796.19</v>
      </c>
    </row>
    <row r="291" spans="1:61" ht="76.5" x14ac:dyDescent="0.25">
      <c r="A291" s="10">
        <v>286</v>
      </c>
      <c r="B291" s="11" t="s">
        <v>929</v>
      </c>
      <c r="C291" s="10" t="s">
        <v>929</v>
      </c>
      <c r="D291" s="10" t="s">
        <v>930</v>
      </c>
      <c r="E291" s="10" t="s">
        <v>931</v>
      </c>
      <c r="F291" s="10" t="s">
        <v>67</v>
      </c>
      <c r="G291" s="12"/>
      <c r="H291" s="12"/>
      <c r="I291" s="12"/>
      <c r="J291" s="12"/>
      <c r="K291" s="12"/>
      <c r="L291" s="12"/>
      <c r="M291" s="12"/>
      <c r="N291" s="12"/>
      <c r="O291" s="12"/>
      <c r="P291" s="12"/>
      <c r="Q291" s="12"/>
      <c r="R291" s="12"/>
      <c r="S291" s="12"/>
      <c r="T291" s="12"/>
      <c r="U291" s="12"/>
      <c r="V291" s="12"/>
      <c r="W291" s="12"/>
      <c r="X291" s="12"/>
      <c r="Y291" s="13">
        <v>1</v>
      </c>
      <c r="Z291" s="12"/>
      <c r="AA291" s="12"/>
      <c r="AB291" s="12"/>
      <c r="AC291" s="13">
        <v>6</v>
      </c>
      <c r="AD291" s="12"/>
      <c r="AE291" s="12"/>
      <c r="AF291" s="12"/>
      <c r="AG291" s="12"/>
      <c r="AH291" s="13">
        <v>2</v>
      </c>
      <c r="AI291" s="13">
        <v>2</v>
      </c>
      <c r="AJ291" s="12"/>
      <c r="AK291" s="12"/>
      <c r="AL291" s="12"/>
      <c r="AM291" s="12"/>
      <c r="AN291" s="12"/>
      <c r="AO291" s="12"/>
      <c r="AP291" s="12"/>
      <c r="AQ291" s="12"/>
      <c r="AR291" s="12"/>
      <c r="AS291" s="12"/>
      <c r="AT291" s="12"/>
      <c r="AU291" s="12"/>
      <c r="AV291" s="12"/>
      <c r="AW291" s="12"/>
      <c r="AX291" s="12"/>
      <c r="AY291" s="12"/>
      <c r="AZ291" s="12"/>
      <c r="BA291" s="12"/>
      <c r="BB291" s="12"/>
      <c r="BC291" s="12"/>
      <c r="BD291" s="12"/>
      <c r="BE291" s="12"/>
      <c r="BF291" s="12"/>
      <c r="BG291" s="12"/>
      <c r="BH291" s="13">
        <f t="shared" si="7"/>
        <v>11</v>
      </c>
      <c r="BI291" s="14">
        <f>BH291*3312.54</f>
        <v>36437.94</v>
      </c>
    </row>
    <row r="292" spans="1:61" ht="51" x14ac:dyDescent="0.25">
      <c r="A292" s="10">
        <v>287</v>
      </c>
      <c r="B292" s="11" t="s">
        <v>932</v>
      </c>
      <c r="C292" s="10" t="s">
        <v>932</v>
      </c>
      <c r="D292" s="11" t="s">
        <v>933</v>
      </c>
      <c r="E292" s="10" t="s">
        <v>934</v>
      </c>
      <c r="F292" s="10" t="s">
        <v>67</v>
      </c>
      <c r="G292" s="12"/>
      <c r="H292" s="12"/>
      <c r="I292" s="12"/>
      <c r="J292" s="12"/>
      <c r="K292" s="12"/>
      <c r="L292" s="12"/>
      <c r="M292" s="12"/>
      <c r="N292" s="12"/>
      <c r="O292" s="12"/>
      <c r="P292" s="12"/>
      <c r="Q292" s="12"/>
      <c r="R292" s="12"/>
      <c r="S292" s="12"/>
      <c r="T292" s="12"/>
      <c r="U292" s="12"/>
      <c r="V292" s="12"/>
      <c r="W292" s="12"/>
      <c r="X292" s="12"/>
      <c r="Y292" s="13">
        <v>1</v>
      </c>
      <c r="Z292" s="12"/>
      <c r="AA292" s="12"/>
      <c r="AB292" s="12"/>
      <c r="AC292" s="13">
        <v>4</v>
      </c>
      <c r="AD292" s="12"/>
      <c r="AE292" s="12"/>
      <c r="AF292" s="12"/>
      <c r="AG292" s="12"/>
      <c r="AH292" s="12"/>
      <c r="AI292" s="12"/>
      <c r="AJ292" s="12"/>
      <c r="AK292" s="12"/>
      <c r="AL292" s="12"/>
      <c r="AM292" s="12"/>
      <c r="AN292" s="12"/>
      <c r="AO292" s="12"/>
      <c r="AP292" s="13">
        <v>1</v>
      </c>
      <c r="AQ292" s="12"/>
      <c r="AR292" s="12"/>
      <c r="AS292" s="12"/>
      <c r="AT292" s="12"/>
      <c r="AU292" s="12"/>
      <c r="AV292" s="12"/>
      <c r="AW292" s="12"/>
      <c r="AX292" s="12"/>
      <c r="AY292" s="12"/>
      <c r="AZ292" s="12"/>
      <c r="BA292" s="12"/>
      <c r="BB292" s="12"/>
      <c r="BC292" s="12"/>
      <c r="BD292" s="12"/>
      <c r="BE292" s="12"/>
      <c r="BF292" s="12"/>
      <c r="BG292" s="12"/>
      <c r="BH292" s="13">
        <f t="shared" si="7"/>
        <v>6</v>
      </c>
      <c r="BI292" s="14">
        <f>BH292*300</f>
        <v>1800</v>
      </c>
    </row>
    <row r="293" spans="1:61" ht="38.25" x14ac:dyDescent="0.25">
      <c r="A293" s="10">
        <v>288</v>
      </c>
      <c r="B293" s="11" t="s">
        <v>935</v>
      </c>
      <c r="C293" s="10" t="s">
        <v>935</v>
      </c>
      <c r="D293" s="11" t="s">
        <v>936</v>
      </c>
      <c r="E293" s="10" t="s">
        <v>937</v>
      </c>
      <c r="F293" s="10" t="s">
        <v>67</v>
      </c>
      <c r="G293" s="12"/>
      <c r="H293" s="12"/>
      <c r="I293" s="12"/>
      <c r="J293" s="12"/>
      <c r="K293" s="12"/>
      <c r="L293" s="12"/>
      <c r="M293" s="12"/>
      <c r="N293" s="12"/>
      <c r="O293" s="12"/>
      <c r="P293" s="12"/>
      <c r="Q293" s="12"/>
      <c r="R293" s="12"/>
      <c r="S293" s="12"/>
      <c r="T293" s="12"/>
      <c r="U293" s="12"/>
      <c r="V293" s="12"/>
      <c r="W293" s="12"/>
      <c r="X293" s="12"/>
      <c r="Y293" s="13">
        <v>1</v>
      </c>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c r="AV293" s="12"/>
      <c r="AW293" s="12"/>
      <c r="AX293" s="12"/>
      <c r="AY293" s="12"/>
      <c r="AZ293" s="12"/>
      <c r="BA293" s="12"/>
      <c r="BB293" s="12"/>
      <c r="BC293" s="12"/>
      <c r="BD293" s="12"/>
      <c r="BE293" s="12"/>
      <c r="BF293" s="12"/>
      <c r="BG293" s="12"/>
      <c r="BH293" s="13">
        <f t="shared" si="7"/>
        <v>1</v>
      </c>
      <c r="BI293" s="14">
        <f>BH293*22464</f>
        <v>22464</v>
      </c>
    </row>
    <row r="294" spans="1:61" s="23" customFormat="1" ht="51" x14ac:dyDescent="0.25">
      <c r="A294" s="18">
        <v>289</v>
      </c>
      <c r="B294" s="11" t="s">
        <v>938</v>
      </c>
      <c r="C294" s="18" t="s">
        <v>938</v>
      </c>
      <c r="D294" s="10" t="s">
        <v>939</v>
      </c>
      <c r="E294" s="18" t="s">
        <v>940</v>
      </c>
      <c r="F294" s="10" t="s">
        <v>67</v>
      </c>
      <c r="G294" s="20"/>
      <c r="H294" s="20"/>
      <c r="I294" s="20"/>
      <c r="J294" s="20"/>
      <c r="K294" s="20"/>
      <c r="L294" s="20"/>
      <c r="M294" s="20"/>
      <c r="N294" s="20"/>
      <c r="O294" s="20"/>
      <c r="P294" s="20"/>
      <c r="Q294" s="20"/>
      <c r="R294" s="20"/>
      <c r="S294" s="20"/>
      <c r="T294" s="20"/>
      <c r="U294" s="20"/>
      <c r="V294" s="20"/>
      <c r="W294" s="20"/>
      <c r="X294" s="20"/>
      <c r="Y294" s="21">
        <v>3</v>
      </c>
      <c r="Z294" s="20"/>
      <c r="AA294" s="20"/>
      <c r="AB294" s="20"/>
      <c r="AC294" s="21">
        <v>1</v>
      </c>
      <c r="AD294" s="20"/>
      <c r="AE294" s="20"/>
      <c r="AF294" s="20"/>
      <c r="AG294" s="20"/>
      <c r="AH294" s="20"/>
      <c r="AI294" s="20"/>
      <c r="AJ294" s="20"/>
      <c r="AK294" s="20"/>
      <c r="AL294" s="20"/>
      <c r="AM294" s="20"/>
      <c r="AN294" s="20"/>
      <c r="AO294" s="20"/>
      <c r="AP294" s="20"/>
      <c r="AQ294" s="20"/>
      <c r="AR294" s="20"/>
      <c r="AS294" s="20"/>
      <c r="AT294" s="20"/>
      <c r="AU294" s="20"/>
      <c r="AV294" s="20"/>
      <c r="AW294" s="20"/>
      <c r="AX294" s="20"/>
      <c r="AY294" s="20"/>
      <c r="AZ294" s="20"/>
      <c r="BA294" s="20"/>
      <c r="BB294" s="20"/>
      <c r="BC294" s="20"/>
      <c r="BD294" s="20"/>
      <c r="BE294" s="20"/>
      <c r="BF294" s="20"/>
      <c r="BG294" s="20"/>
      <c r="BH294" s="13">
        <f t="shared" si="7"/>
        <v>4</v>
      </c>
      <c r="BI294" s="22">
        <f>BH294*1882.8</f>
        <v>7531.2</v>
      </c>
    </row>
    <row r="295" spans="1:61" ht="51" x14ac:dyDescent="0.25">
      <c r="A295" s="10">
        <v>290</v>
      </c>
      <c r="B295" s="11" t="s">
        <v>941</v>
      </c>
      <c r="C295" s="10" t="s">
        <v>941</v>
      </c>
      <c r="D295" s="10" t="s">
        <v>942</v>
      </c>
      <c r="E295" s="10" t="s">
        <v>943</v>
      </c>
      <c r="F295" s="10" t="s">
        <v>67</v>
      </c>
      <c r="G295" s="12"/>
      <c r="H295" s="12"/>
      <c r="I295" s="12"/>
      <c r="J295" s="12"/>
      <c r="K295" s="12"/>
      <c r="L295" s="12"/>
      <c r="M295" s="12"/>
      <c r="N295" s="12"/>
      <c r="O295" s="12"/>
      <c r="P295" s="12"/>
      <c r="Q295" s="12"/>
      <c r="R295" s="12"/>
      <c r="S295" s="12"/>
      <c r="T295" s="12"/>
      <c r="U295" s="12"/>
      <c r="V295" s="12"/>
      <c r="W295" s="12"/>
      <c r="X295" s="12"/>
      <c r="Y295" s="13">
        <v>1</v>
      </c>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3">
        <f t="shared" si="7"/>
        <v>1</v>
      </c>
      <c r="BI295" s="14">
        <f>BH295*12000</f>
        <v>12000</v>
      </c>
    </row>
    <row r="296" spans="1:61" ht="51" x14ac:dyDescent="0.25">
      <c r="A296" s="10">
        <v>291</v>
      </c>
      <c r="B296" s="11" t="s">
        <v>944</v>
      </c>
      <c r="C296" s="10" t="s">
        <v>944</v>
      </c>
      <c r="D296" s="10" t="s">
        <v>945</v>
      </c>
      <c r="E296" s="10" t="s">
        <v>946</v>
      </c>
      <c r="F296" s="10" t="s">
        <v>67</v>
      </c>
      <c r="G296" s="12"/>
      <c r="H296" s="12"/>
      <c r="I296" s="12"/>
      <c r="J296" s="12"/>
      <c r="K296" s="12"/>
      <c r="L296" s="12"/>
      <c r="M296" s="12"/>
      <c r="N296" s="12"/>
      <c r="O296" s="12"/>
      <c r="P296" s="12"/>
      <c r="Q296" s="12"/>
      <c r="R296" s="12"/>
      <c r="S296" s="12"/>
      <c r="T296" s="12"/>
      <c r="U296" s="12"/>
      <c r="V296" s="12"/>
      <c r="W296" s="12"/>
      <c r="X296" s="12"/>
      <c r="Y296" s="13">
        <v>1</v>
      </c>
      <c r="Z296" s="12"/>
      <c r="AA296" s="12"/>
      <c r="AB296" s="12"/>
      <c r="AC296" s="12"/>
      <c r="AD296" s="12"/>
      <c r="AE296" s="13">
        <v>1</v>
      </c>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3">
        <f t="shared" si="7"/>
        <v>2</v>
      </c>
      <c r="BI296" s="14">
        <f>BH296*12000</f>
        <v>24000</v>
      </c>
    </row>
    <row r="297" spans="1:61" ht="76.5" x14ac:dyDescent="0.25">
      <c r="A297" s="10">
        <v>292</v>
      </c>
      <c r="B297" s="11" t="s">
        <v>947</v>
      </c>
      <c r="C297" s="10" t="s">
        <v>947</v>
      </c>
      <c r="D297" s="10" t="s">
        <v>948</v>
      </c>
      <c r="E297" s="10" t="s">
        <v>949</v>
      </c>
      <c r="F297" s="10" t="s">
        <v>67</v>
      </c>
      <c r="G297" s="12"/>
      <c r="H297" s="12"/>
      <c r="I297" s="12"/>
      <c r="J297" s="12"/>
      <c r="K297" s="12"/>
      <c r="L297" s="12"/>
      <c r="M297" s="12"/>
      <c r="N297" s="12"/>
      <c r="O297" s="12"/>
      <c r="P297" s="12"/>
      <c r="Q297" s="12"/>
      <c r="R297" s="12"/>
      <c r="S297" s="12"/>
      <c r="T297" s="12"/>
      <c r="U297" s="12"/>
      <c r="V297" s="12"/>
      <c r="W297" s="12"/>
      <c r="X297" s="12"/>
      <c r="Y297" s="12"/>
      <c r="Z297" s="13">
        <v>40</v>
      </c>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c r="BD297" s="12"/>
      <c r="BE297" s="12"/>
      <c r="BF297" s="12"/>
      <c r="BG297" s="12"/>
      <c r="BH297" s="13">
        <f t="shared" si="7"/>
        <v>40</v>
      </c>
      <c r="BI297" s="14">
        <f>BH297*12519.756</f>
        <v>500790.24</v>
      </c>
    </row>
    <row r="298" spans="1:61" ht="63.75" x14ac:dyDescent="0.25">
      <c r="A298" s="10">
        <v>293</v>
      </c>
      <c r="B298" s="11" t="s">
        <v>950</v>
      </c>
      <c r="C298" s="10" t="s">
        <v>950</v>
      </c>
      <c r="D298" s="11" t="s">
        <v>951</v>
      </c>
      <c r="E298" s="10" t="s">
        <v>952</v>
      </c>
      <c r="F298" s="10" t="s">
        <v>67</v>
      </c>
      <c r="G298" s="12"/>
      <c r="H298" s="12"/>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3">
        <v>2</v>
      </c>
      <c r="AI298" s="12"/>
      <c r="AJ298" s="12"/>
      <c r="AK298" s="12"/>
      <c r="AL298" s="12"/>
      <c r="AM298" s="12"/>
      <c r="AN298" s="12"/>
      <c r="AO298" s="12"/>
      <c r="AP298" s="12"/>
      <c r="AQ298" s="12"/>
      <c r="AR298" s="12"/>
      <c r="AS298" s="12"/>
      <c r="AT298" s="12"/>
      <c r="AU298" s="12"/>
      <c r="AV298" s="12"/>
      <c r="AW298" s="12"/>
      <c r="AX298" s="12"/>
      <c r="AY298" s="12"/>
      <c r="AZ298" s="12"/>
      <c r="BA298" s="12"/>
      <c r="BB298" s="12"/>
      <c r="BC298" s="12"/>
      <c r="BD298" s="12"/>
      <c r="BE298" s="12"/>
      <c r="BF298" s="12"/>
      <c r="BG298" s="12"/>
      <c r="BH298" s="13">
        <f t="shared" si="7"/>
        <v>2</v>
      </c>
      <c r="BI298" s="14">
        <f>BH298*2580</f>
        <v>5160</v>
      </c>
    </row>
    <row r="299" spans="1:61" ht="51" x14ac:dyDescent="0.25">
      <c r="A299" s="10">
        <v>294</v>
      </c>
      <c r="B299" s="11" t="s">
        <v>953</v>
      </c>
      <c r="C299" s="10" t="s">
        <v>953</v>
      </c>
      <c r="D299" s="10" t="s">
        <v>954</v>
      </c>
      <c r="E299" s="10" t="s">
        <v>955</v>
      </c>
      <c r="F299" s="10" t="s">
        <v>67</v>
      </c>
      <c r="G299" s="12"/>
      <c r="H299" s="12"/>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3">
        <v>1</v>
      </c>
      <c r="AI299" s="12"/>
      <c r="AJ299" s="12"/>
      <c r="AK299" s="12"/>
      <c r="AL299" s="12"/>
      <c r="AM299" s="12"/>
      <c r="AN299" s="12"/>
      <c r="AO299" s="12"/>
      <c r="AP299" s="12"/>
      <c r="AQ299" s="12"/>
      <c r="AR299" s="12"/>
      <c r="AS299" s="12"/>
      <c r="AT299" s="12"/>
      <c r="AU299" s="12"/>
      <c r="AV299" s="12"/>
      <c r="AW299" s="12"/>
      <c r="AX299" s="12"/>
      <c r="AY299" s="12"/>
      <c r="AZ299" s="12"/>
      <c r="BA299" s="12"/>
      <c r="BB299" s="12"/>
      <c r="BC299" s="12"/>
      <c r="BD299" s="12"/>
      <c r="BE299" s="12"/>
      <c r="BF299" s="12"/>
      <c r="BG299" s="12"/>
      <c r="BH299" s="13">
        <f t="shared" si="7"/>
        <v>1</v>
      </c>
      <c r="BI299" s="14">
        <f>BH299*2120</f>
        <v>2120</v>
      </c>
    </row>
    <row r="300" spans="1:61" ht="51" x14ac:dyDescent="0.25">
      <c r="A300" s="10">
        <v>295</v>
      </c>
      <c r="B300" s="11" t="s">
        <v>956</v>
      </c>
      <c r="C300" s="10" t="s">
        <v>956</v>
      </c>
      <c r="D300" s="11" t="s">
        <v>957</v>
      </c>
      <c r="E300" s="10" t="s">
        <v>958</v>
      </c>
      <c r="F300" s="10" t="s">
        <v>67</v>
      </c>
      <c r="G300" s="12"/>
      <c r="H300" s="12"/>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3">
        <v>1</v>
      </c>
      <c r="AI300" s="12"/>
      <c r="AJ300" s="12"/>
      <c r="AK300" s="12"/>
      <c r="AL300" s="12"/>
      <c r="AM300" s="12"/>
      <c r="AN300" s="12"/>
      <c r="AO300" s="12"/>
      <c r="AP300" s="12"/>
      <c r="AQ300" s="12"/>
      <c r="AR300" s="12"/>
      <c r="AS300" s="12"/>
      <c r="AT300" s="12"/>
      <c r="AU300" s="12"/>
      <c r="AV300" s="12"/>
      <c r="AW300" s="12"/>
      <c r="AX300" s="12"/>
      <c r="AY300" s="12"/>
      <c r="AZ300" s="12"/>
      <c r="BA300" s="12"/>
      <c r="BB300" s="12"/>
      <c r="BC300" s="12"/>
      <c r="BD300" s="12"/>
      <c r="BE300" s="12"/>
      <c r="BF300" s="12"/>
      <c r="BG300" s="12"/>
      <c r="BH300" s="13">
        <f t="shared" si="7"/>
        <v>1</v>
      </c>
      <c r="BI300" s="14">
        <f t="shared" ref="BI300:BI301" si="9">BH300*2120</f>
        <v>2120</v>
      </c>
    </row>
    <row r="301" spans="1:61" ht="51" x14ac:dyDescent="0.25">
      <c r="A301" s="10">
        <v>296</v>
      </c>
      <c r="B301" s="11" t="s">
        <v>959</v>
      </c>
      <c r="C301" s="10" t="s">
        <v>959</v>
      </c>
      <c r="D301" s="11" t="s">
        <v>960</v>
      </c>
      <c r="E301" s="10" t="s">
        <v>961</v>
      </c>
      <c r="F301" s="10" t="s">
        <v>67</v>
      </c>
      <c r="G301" s="12"/>
      <c r="H301" s="12"/>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3">
        <v>1</v>
      </c>
      <c r="AI301" s="12"/>
      <c r="AJ301" s="12"/>
      <c r="AK301" s="12"/>
      <c r="AL301" s="12"/>
      <c r="AM301" s="12"/>
      <c r="AN301" s="12"/>
      <c r="AO301" s="12"/>
      <c r="AP301" s="12"/>
      <c r="AQ301" s="12"/>
      <c r="AR301" s="12"/>
      <c r="AS301" s="12"/>
      <c r="AT301" s="12"/>
      <c r="AU301" s="12"/>
      <c r="AV301" s="12"/>
      <c r="AW301" s="12"/>
      <c r="AX301" s="12"/>
      <c r="AY301" s="12"/>
      <c r="AZ301" s="12"/>
      <c r="BA301" s="12"/>
      <c r="BB301" s="12"/>
      <c r="BC301" s="12"/>
      <c r="BD301" s="12"/>
      <c r="BE301" s="12"/>
      <c r="BF301" s="12"/>
      <c r="BG301" s="12"/>
      <c r="BH301" s="13">
        <f t="shared" si="7"/>
        <v>1</v>
      </c>
      <c r="BI301" s="14">
        <f t="shared" si="9"/>
        <v>2120</v>
      </c>
    </row>
    <row r="302" spans="1:61" ht="51" x14ac:dyDescent="0.25">
      <c r="A302" s="10">
        <v>297</v>
      </c>
      <c r="B302" s="11" t="s">
        <v>962</v>
      </c>
      <c r="C302" s="10" t="s">
        <v>962</v>
      </c>
      <c r="D302" s="10" t="s">
        <v>963</v>
      </c>
      <c r="E302" s="10" t="s">
        <v>964</v>
      </c>
      <c r="F302" s="10" t="s">
        <v>67</v>
      </c>
      <c r="G302" s="12"/>
      <c r="H302" s="12"/>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3">
        <v>4</v>
      </c>
      <c r="AI302" s="12"/>
      <c r="AJ302" s="12"/>
      <c r="AK302" s="12"/>
      <c r="AL302" s="12"/>
      <c r="AM302" s="12"/>
      <c r="AN302" s="12"/>
      <c r="AO302" s="12"/>
      <c r="AP302" s="12"/>
      <c r="AQ302" s="12"/>
      <c r="AR302" s="12"/>
      <c r="AS302" s="12"/>
      <c r="AT302" s="12"/>
      <c r="AU302" s="12"/>
      <c r="AV302" s="12"/>
      <c r="AW302" s="12"/>
      <c r="AX302" s="12"/>
      <c r="AY302" s="12"/>
      <c r="AZ302" s="12"/>
      <c r="BA302" s="12"/>
      <c r="BB302" s="12"/>
      <c r="BC302" s="12"/>
      <c r="BD302" s="12"/>
      <c r="BE302" s="12"/>
      <c r="BF302" s="12"/>
      <c r="BG302" s="12"/>
      <c r="BH302" s="13">
        <f t="shared" si="7"/>
        <v>4</v>
      </c>
      <c r="BI302" s="14">
        <f>BH302*2969.28</f>
        <v>11877.12</v>
      </c>
    </row>
    <row r="303" spans="1:61" ht="51" x14ac:dyDescent="0.25">
      <c r="A303" s="10">
        <v>298</v>
      </c>
      <c r="B303" s="11" t="s">
        <v>965</v>
      </c>
      <c r="C303" s="10" t="s">
        <v>965</v>
      </c>
      <c r="D303" s="11" t="s">
        <v>966</v>
      </c>
      <c r="E303" s="10" t="s">
        <v>967</v>
      </c>
      <c r="F303" s="10" t="s">
        <v>67</v>
      </c>
      <c r="G303" s="12"/>
      <c r="H303" s="12"/>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3">
        <v>1</v>
      </c>
      <c r="AI303" s="12"/>
      <c r="AJ303" s="12"/>
      <c r="AK303" s="12"/>
      <c r="AL303" s="12"/>
      <c r="AM303" s="12"/>
      <c r="AN303" s="12"/>
      <c r="AO303" s="12"/>
      <c r="AP303" s="12"/>
      <c r="AQ303" s="12"/>
      <c r="AR303" s="12"/>
      <c r="AS303" s="12"/>
      <c r="AT303" s="12"/>
      <c r="AU303" s="12"/>
      <c r="AV303" s="12"/>
      <c r="AW303" s="12"/>
      <c r="AX303" s="12"/>
      <c r="AY303" s="12"/>
      <c r="AZ303" s="12"/>
      <c r="BA303" s="12"/>
      <c r="BB303" s="12"/>
      <c r="BC303" s="12"/>
      <c r="BD303" s="12"/>
      <c r="BE303" s="12"/>
      <c r="BF303" s="12"/>
      <c r="BG303" s="12"/>
      <c r="BH303" s="13">
        <f t="shared" si="7"/>
        <v>1</v>
      </c>
      <c r="BI303" s="14">
        <f>BH303*2120</f>
        <v>2120</v>
      </c>
    </row>
    <row r="304" spans="1:61" x14ac:dyDescent="0.25">
      <c r="A304" s="24"/>
      <c r="B304" s="24" t="s">
        <v>61</v>
      </c>
      <c r="C304" s="24"/>
      <c r="D304" s="24"/>
      <c r="E304" s="24"/>
      <c r="F304" s="24"/>
      <c r="G304" s="25">
        <f t="shared" ref="G304:BI304" si="10">SUM(G6:G303)</f>
        <v>70</v>
      </c>
      <c r="H304" s="25">
        <f t="shared" si="10"/>
        <v>298</v>
      </c>
      <c r="I304" s="25">
        <f t="shared" si="10"/>
        <v>386</v>
      </c>
      <c r="J304" s="25">
        <f t="shared" si="10"/>
        <v>285</v>
      </c>
      <c r="K304" s="25">
        <f t="shared" si="10"/>
        <v>168</v>
      </c>
      <c r="L304" s="25">
        <f t="shared" si="10"/>
        <v>345</v>
      </c>
      <c r="M304" s="25">
        <f t="shared" si="10"/>
        <v>1</v>
      </c>
      <c r="N304" s="25">
        <f t="shared" si="10"/>
        <v>3</v>
      </c>
      <c r="O304" s="25">
        <f t="shared" si="10"/>
        <v>36</v>
      </c>
      <c r="P304" s="25">
        <f t="shared" si="10"/>
        <v>0</v>
      </c>
      <c r="Q304" s="25">
        <f t="shared" si="10"/>
        <v>1</v>
      </c>
      <c r="R304" s="25">
        <f t="shared" si="10"/>
        <v>2</v>
      </c>
      <c r="S304" s="25">
        <f t="shared" si="10"/>
        <v>26</v>
      </c>
      <c r="T304" s="25">
        <f t="shared" si="10"/>
        <v>12</v>
      </c>
      <c r="U304" s="25">
        <f t="shared" si="10"/>
        <v>4</v>
      </c>
      <c r="V304" s="25">
        <f t="shared" si="10"/>
        <v>21</v>
      </c>
      <c r="W304" s="25">
        <f t="shared" si="10"/>
        <v>26</v>
      </c>
      <c r="X304" s="25">
        <f t="shared" si="10"/>
        <v>2800</v>
      </c>
      <c r="Y304" s="25">
        <f t="shared" si="10"/>
        <v>192</v>
      </c>
      <c r="Z304" s="25">
        <f t="shared" si="10"/>
        <v>2630</v>
      </c>
      <c r="AA304" s="25">
        <f t="shared" si="10"/>
        <v>16</v>
      </c>
      <c r="AB304" s="25">
        <f t="shared" si="10"/>
        <v>10</v>
      </c>
      <c r="AC304" s="25">
        <f t="shared" si="10"/>
        <v>2397</v>
      </c>
      <c r="AD304" s="25">
        <f t="shared" si="10"/>
        <v>1361</v>
      </c>
      <c r="AE304" s="25">
        <f t="shared" si="10"/>
        <v>535</v>
      </c>
      <c r="AF304" s="25">
        <f t="shared" si="10"/>
        <v>218</v>
      </c>
      <c r="AG304" s="25">
        <f t="shared" si="10"/>
        <v>281</v>
      </c>
      <c r="AH304" s="25">
        <f t="shared" si="10"/>
        <v>3041</v>
      </c>
      <c r="AI304" s="25">
        <f t="shared" si="10"/>
        <v>238</v>
      </c>
      <c r="AJ304" s="25">
        <f t="shared" si="10"/>
        <v>5</v>
      </c>
      <c r="AK304" s="25">
        <f t="shared" si="10"/>
        <v>41</v>
      </c>
      <c r="AL304" s="25">
        <f t="shared" si="10"/>
        <v>929</v>
      </c>
      <c r="AM304" s="25">
        <f t="shared" si="10"/>
        <v>107</v>
      </c>
      <c r="AN304" s="25">
        <f t="shared" si="10"/>
        <v>50</v>
      </c>
      <c r="AO304" s="25">
        <f t="shared" si="10"/>
        <v>270</v>
      </c>
      <c r="AP304" s="25">
        <f t="shared" si="10"/>
        <v>437</v>
      </c>
      <c r="AQ304" s="25">
        <f t="shared" si="10"/>
        <v>36</v>
      </c>
      <c r="AR304" s="25">
        <f t="shared" si="10"/>
        <v>602</v>
      </c>
      <c r="AS304" s="25">
        <f t="shared" si="10"/>
        <v>101</v>
      </c>
      <c r="AT304" s="25">
        <f t="shared" si="10"/>
        <v>141</v>
      </c>
      <c r="AU304" s="25">
        <f t="shared" si="10"/>
        <v>419</v>
      </c>
      <c r="AV304" s="25">
        <f t="shared" si="10"/>
        <v>260</v>
      </c>
      <c r="AW304" s="25">
        <f t="shared" si="10"/>
        <v>18</v>
      </c>
      <c r="AX304" s="25">
        <f t="shared" si="10"/>
        <v>34</v>
      </c>
      <c r="AY304" s="25">
        <f t="shared" si="10"/>
        <v>49</v>
      </c>
      <c r="AZ304" s="25">
        <f t="shared" si="10"/>
        <v>284</v>
      </c>
      <c r="BA304" s="25">
        <f t="shared" si="10"/>
        <v>115</v>
      </c>
      <c r="BB304" s="25">
        <f t="shared" si="10"/>
        <v>174</v>
      </c>
      <c r="BC304" s="25">
        <f t="shared" si="10"/>
        <v>485</v>
      </c>
      <c r="BD304" s="25">
        <f t="shared" si="10"/>
        <v>565</v>
      </c>
      <c r="BE304" s="25">
        <f t="shared" si="10"/>
        <v>20</v>
      </c>
      <c r="BF304" s="25">
        <f t="shared" si="10"/>
        <v>37</v>
      </c>
      <c r="BG304" s="25">
        <f t="shared" si="10"/>
        <v>50</v>
      </c>
      <c r="BH304" s="25">
        <f t="shared" si="10"/>
        <v>20632</v>
      </c>
      <c r="BI304" s="26">
        <f t="shared" si="10"/>
        <v>8935645.6838791892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2025-10-01T12:22:19Z</dcterms:created>
  <dcterms:modified xsi:type="dcterms:W3CDTF">2025-10-27T13:07:40Z</dcterms:modified>
</cp:coreProperties>
</file>